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146CB632-D6FA-48D1-BF26-A69741295001}" xr6:coauthVersionLast="47" xr6:coauthVersionMax="47" xr10:uidLastSave="{00000000-0000-0000-0000-000000000000}"/>
  <bookViews>
    <workbookView xWindow="-108" yWindow="-108" windowWidth="23256" windowHeight="12456" xr2:uid="{00000000-000D-0000-FFFF-FFFF00000000}"/>
  </bookViews>
  <sheets>
    <sheet name="Sheet1" sheetId="1" r:id="rId1"/>
  </sheets>
  <calcPr calcId="191028"/>
</workbook>
</file>

<file path=xl/calcChain.xml><?xml version="1.0" encoding="utf-8"?>
<calcChain xmlns="http://schemas.openxmlformats.org/spreadsheetml/2006/main">
  <c r="R1501" i="1" l="1"/>
  <c r="Q1501" i="1"/>
  <c r="V1492" i="1"/>
  <c r="U1492" i="1"/>
  <c r="T1492" i="1"/>
  <c r="S1492" i="1"/>
  <c r="R1492" i="1"/>
  <c r="Q1492" i="1"/>
  <c r="S1491" i="1"/>
  <c r="R1491" i="1"/>
  <c r="Q1491" i="1"/>
  <c r="R1489" i="1"/>
  <c r="Q1489" i="1"/>
  <c r="R1488" i="1"/>
  <c r="Q1488" i="1"/>
  <c r="Q1487" i="1"/>
  <c r="U1485" i="1"/>
  <c r="T1485" i="1"/>
  <c r="S1485" i="1"/>
  <c r="R1485" i="1"/>
  <c r="Q1485" i="1"/>
  <c r="Q1481" i="1"/>
  <c r="Q1480" i="1"/>
  <c r="V1479" i="1"/>
  <c r="U1479" i="1"/>
  <c r="T1479" i="1"/>
  <c r="S1479" i="1"/>
  <c r="R1479" i="1"/>
  <c r="Q1479" i="1"/>
  <c r="V1478" i="1"/>
  <c r="U1478" i="1"/>
  <c r="T1478" i="1"/>
  <c r="S1478" i="1"/>
  <c r="R1478" i="1"/>
  <c r="Q1478" i="1"/>
  <c r="Q1477" i="1"/>
  <c r="Q1474" i="1"/>
  <c r="Z1466" i="1"/>
  <c r="Y1466" i="1"/>
  <c r="X1466" i="1"/>
  <c r="W1466" i="1"/>
  <c r="V1466" i="1"/>
  <c r="U1466" i="1"/>
  <c r="T1466" i="1"/>
  <c r="S1466" i="1"/>
  <c r="R1466" i="1"/>
  <c r="Q1466" i="1"/>
  <c r="T1465" i="1"/>
  <c r="S1465" i="1"/>
  <c r="R1465" i="1"/>
  <c r="Q1465" i="1"/>
  <c r="T1463" i="1"/>
  <c r="S1463" i="1"/>
  <c r="R1463" i="1"/>
  <c r="Q1463" i="1"/>
  <c r="Q1462" i="1"/>
  <c r="T1458" i="1"/>
  <c r="S1458" i="1"/>
  <c r="R1458" i="1"/>
  <c r="Q1458" i="1"/>
  <c r="U1457" i="1"/>
  <c r="T1457" i="1"/>
  <c r="S1457" i="1"/>
  <c r="R1457" i="1"/>
  <c r="Q1457" i="1"/>
  <c r="AE1452" i="1"/>
  <c r="AD1452" i="1"/>
  <c r="AC1452" i="1"/>
  <c r="AB1452" i="1"/>
  <c r="AA1452" i="1"/>
  <c r="Z1452" i="1"/>
  <c r="Y1452" i="1"/>
  <c r="X1452" i="1"/>
  <c r="W1452" i="1"/>
  <c r="V1452" i="1"/>
  <c r="U1452" i="1"/>
  <c r="T1452" i="1"/>
  <c r="S1452" i="1"/>
  <c r="R1452" i="1"/>
  <c r="Q1452" i="1"/>
  <c r="S1451" i="1"/>
  <c r="R1451" i="1"/>
  <c r="Q1451" i="1"/>
  <c r="R1449" i="1"/>
  <c r="Q1449" i="1"/>
  <c r="X1448" i="1"/>
  <c r="W1448" i="1"/>
  <c r="V1448" i="1"/>
  <c r="U1448" i="1"/>
  <c r="T1448" i="1"/>
  <c r="S1448" i="1"/>
  <c r="R1448" i="1"/>
  <c r="Q1448" i="1"/>
  <c r="T1447" i="1"/>
  <c r="S1447" i="1"/>
  <c r="R1447" i="1"/>
  <c r="Q1447" i="1"/>
  <c r="Q1445" i="1"/>
  <c r="S1441" i="1"/>
  <c r="R1441" i="1"/>
  <c r="Q1441" i="1"/>
  <c r="T1439" i="1"/>
  <c r="S1439" i="1"/>
  <c r="R1439" i="1"/>
  <c r="Q1439" i="1"/>
  <c r="Q1438" i="1"/>
  <c r="AE1436" i="1"/>
  <c r="AD1436" i="1"/>
  <c r="AC1436" i="1"/>
  <c r="AB1436" i="1"/>
  <c r="AA1436" i="1"/>
  <c r="Z1436" i="1"/>
  <c r="Y1436" i="1"/>
  <c r="X1436" i="1"/>
  <c r="W1436" i="1"/>
  <c r="V1436" i="1"/>
  <c r="U1436" i="1"/>
  <c r="T1436" i="1"/>
  <c r="S1436" i="1"/>
  <c r="R1436" i="1"/>
  <c r="Q1436" i="1"/>
  <c r="R1433" i="1"/>
  <c r="Q1433" i="1"/>
  <c r="Q1426" i="1"/>
  <c r="S1425" i="1"/>
  <c r="R1425" i="1"/>
  <c r="Q1425" i="1"/>
  <c r="T1422" i="1"/>
  <c r="S1422" i="1"/>
  <c r="R1422" i="1"/>
  <c r="Q1422" i="1"/>
  <c r="R1421" i="1"/>
  <c r="Q1421" i="1"/>
  <c r="Z1420" i="1"/>
  <c r="Y1420" i="1"/>
  <c r="X1420" i="1"/>
  <c r="W1420" i="1"/>
  <c r="V1420" i="1"/>
  <c r="U1420" i="1"/>
  <c r="T1420" i="1"/>
  <c r="S1420" i="1"/>
  <c r="R1420" i="1"/>
  <c r="Q1420" i="1"/>
  <c r="T1419" i="1"/>
  <c r="S1419" i="1"/>
  <c r="R1419" i="1"/>
  <c r="Q1419" i="1"/>
  <c r="V1416" i="1"/>
  <c r="U1416" i="1"/>
  <c r="T1416" i="1"/>
  <c r="S1416" i="1"/>
  <c r="R1416" i="1"/>
  <c r="Q1416" i="1"/>
  <c r="Q1415" i="1"/>
  <c r="AA1413" i="1"/>
  <c r="Z1413" i="1"/>
  <c r="Y1413" i="1"/>
  <c r="X1413" i="1"/>
  <c r="W1413" i="1"/>
  <c r="V1413" i="1"/>
  <c r="U1413" i="1"/>
  <c r="T1413" i="1"/>
  <c r="S1413" i="1"/>
  <c r="R1413" i="1"/>
  <c r="Q1413" i="1"/>
  <c r="U1412" i="1"/>
  <c r="T1412" i="1"/>
  <c r="S1412" i="1"/>
  <c r="R1412" i="1"/>
  <c r="Q1412" i="1"/>
  <c r="V1410" i="1"/>
  <c r="U1410" i="1"/>
  <c r="T1410" i="1"/>
  <c r="S1410" i="1"/>
  <c r="R1410" i="1"/>
  <c r="Q1410" i="1"/>
  <c r="S1407" i="1"/>
  <c r="R1407" i="1"/>
  <c r="Q1407" i="1"/>
  <c r="U1406" i="1"/>
  <c r="T1406" i="1"/>
  <c r="S1406" i="1"/>
  <c r="R1406" i="1"/>
  <c r="Q1406" i="1"/>
  <c r="T1405" i="1"/>
  <c r="S1405" i="1"/>
  <c r="R1405" i="1"/>
  <c r="Q1405" i="1"/>
  <c r="Q1396" i="1"/>
  <c r="R1395" i="1"/>
  <c r="Q1395" i="1"/>
  <c r="S1394" i="1"/>
  <c r="R1394" i="1"/>
  <c r="Q1394" i="1"/>
  <c r="R1393" i="1"/>
  <c r="Q1393" i="1"/>
  <c r="U1392" i="1"/>
  <c r="T1392" i="1"/>
  <c r="S1392" i="1"/>
  <c r="R1392" i="1"/>
  <c r="Q1392" i="1"/>
  <c r="AE1391" i="1"/>
  <c r="AD1391" i="1"/>
  <c r="AC1391" i="1"/>
  <c r="AB1391" i="1"/>
  <c r="AA1391" i="1"/>
  <c r="Z1391" i="1"/>
  <c r="Y1391" i="1"/>
  <c r="X1391" i="1"/>
  <c r="W1391" i="1"/>
  <c r="V1391" i="1"/>
  <c r="U1391" i="1"/>
  <c r="T1391" i="1"/>
  <c r="S1391" i="1"/>
  <c r="R1391" i="1"/>
  <c r="Q1391" i="1"/>
  <c r="T1390" i="1"/>
  <c r="S1390" i="1"/>
  <c r="R1390" i="1"/>
  <c r="Q1390" i="1"/>
  <c r="X1387" i="1"/>
  <c r="W1387" i="1"/>
  <c r="V1387" i="1"/>
  <c r="U1387" i="1"/>
  <c r="T1387" i="1"/>
  <c r="S1387" i="1"/>
  <c r="R1387" i="1"/>
  <c r="Q1387" i="1"/>
  <c r="R1386" i="1"/>
  <c r="Q1386" i="1"/>
  <c r="S1385" i="1"/>
  <c r="R1385" i="1"/>
  <c r="Q1385" i="1"/>
  <c r="V1384" i="1"/>
  <c r="U1384" i="1"/>
  <c r="T1384" i="1"/>
  <c r="S1384" i="1"/>
  <c r="R1384" i="1"/>
  <c r="Q1384" i="1"/>
  <c r="Q1383" i="1"/>
  <c r="T1382" i="1"/>
  <c r="S1382" i="1"/>
  <c r="R1382" i="1"/>
  <c r="Q1382" i="1"/>
  <c r="Z1381" i="1"/>
  <c r="Y1381" i="1"/>
  <c r="X1381" i="1"/>
  <c r="W1381" i="1"/>
  <c r="V1381" i="1"/>
  <c r="U1381" i="1"/>
  <c r="T1381" i="1"/>
  <c r="S1381" i="1"/>
  <c r="R1381" i="1"/>
  <c r="Q1381" i="1"/>
  <c r="Q1380" i="1"/>
  <c r="AE1375" i="1"/>
  <c r="AD1375" i="1"/>
  <c r="AC1375" i="1"/>
  <c r="AB1375" i="1"/>
  <c r="AA1375" i="1"/>
  <c r="Z1375" i="1"/>
  <c r="Y1375" i="1"/>
  <c r="X1375" i="1"/>
  <c r="W1375" i="1"/>
  <c r="V1375" i="1"/>
  <c r="U1375" i="1"/>
  <c r="T1375" i="1"/>
  <c r="S1375" i="1"/>
  <c r="R1375" i="1"/>
  <c r="Q1375" i="1"/>
  <c r="Q1374" i="1"/>
  <c r="Z1370" i="1"/>
  <c r="Y1370" i="1"/>
  <c r="X1370" i="1"/>
  <c r="W1370" i="1"/>
  <c r="V1370" i="1"/>
  <c r="U1370" i="1"/>
  <c r="T1370" i="1"/>
  <c r="S1370" i="1"/>
  <c r="R1370" i="1"/>
  <c r="Q1370" i="1"/>
  <c r="Q1369" i="1"/>
  <c r="Q1368" i="1"/>
  <c r="V1367" i="1"/>
  <c r="U1367" i="1"/>
  <c r="T1367" i="1"/>
  <c r="S1367" i="1"/>
  <c r="R1367" i="1"/>
  <c r="Q1367" i="1"/>
  <c r="U1366" i="1"/>
  <c r="T1366" i="1"/>
  <c r="S1366" i="1"/>
  <c r="R1366" i="1"/>
  <c r="Q1366" i="1"/>
  <c r="Q1365" i="1"/>
  <c r="S1361" i="1"/>
  <c r="R1361" i="1"/>
  <c r="Q1361" i="1"/>
  <c r="T1352" i="1"/>
  <c r="S1352" i="1"/>
  <c r="R1352" i="1"/>
  <c r="Q1352" i="1"/>
  <c r="R1351" i="1"/>
  <c r="Q1351" i="1"/>
  <c r="X1348" i="1"/>
  <c r="W1348" i="1"/>
  <c r="V1348" i="1"/>
  <c r="U1348" i="1"/>
  <c r="T1348" i="1"/>
  <c r="S1348" i="1"/>
  <c r="R1348" i="1"/>
  <c r="Q1348" i="1"/>
  <c r="T1347" i="1"/>
  <c r="S1347" i="1"/>
  <c r="R1347" i="1"/>
  <c r="Q1347" i="1"/>
  <c r="R1344" i="1"/>
  <c r="Q1344" i="1"/>
  <c r="T1342" i="1"/>
  <c r="S1342" i="1"/>
  <c r="R1342" i="1"/>
  <c r="Q1342" i="1"/>
  <c r="U1341" i="1"/>
  <c r="T1341" i="1"/>
  <c r="S1341" i="1"/>
  <c r="R1341" i="1"/>
  <c r="Q1341" i="1"/>
  <c r="R1340" i="1"/>
  <c r="Q1340" i="1"/>
  <c r="V1339" i="1"/>
  <c r="U1339" i="1"/>
  <c r="T1339" i="1"/>
  <c r="S1339" i="1"/>
  <c r="R1339" i="1"/>
  <c r="Q1339" i="1"/>
  <c r="S1334" i="1"/>
  <c r="R1334" i="1"/>
  <c r="Q1334" i="1"/>
  <c r="T1333" i="1"/>
  <c r="S1333" i="1"/>
  <c r="R1333" i="1"/>
  <c r="Q1333" i="1"/>
  <c r="Q1332" i="1"/>
  <c r="U1327" i="1"/>
  <c r="T1327" i="1"/>
  <c r="S1327" i="1"/>
  <c r="R1327" i="1"/>
  <c r="Q1327" i="1"/>
  <c r="Q1326" i="1"/>
  <c r="S1325" i="1"/>
  <c r="R1325" i="1"/>
  <c r="Q1325" i="1"/>
  <c r="R1324" i="1"/>
  <c r="Q1324" i="1"/>
  <c r="U1323" i="1"/>
  <c r="T1323" i="1"/>
  <c r="S1323" i="1"/>
  <c r="R1323" i="1"/>
  <c r="Q1323" i="1"/>
  <c r="Q1321" i="1"/>
  <c r="T1317" i="1"/>
  <c r="S1317" i="1"/>
  <c r="R1317" i="1"/>
  <c r="Q1317" i="1"/>
  <c r="AE1316" i="1"/>
  <c r="AD1316" i="1"/>
  <c r="AC1316" i="1"/>
  <c r="AB1316" i="1"/>
  <c r="AA1316" i="1"/>
  <c r="Z1316" i="1"/>
  <c r="Y1316" i="1"/>
  <c r="X1316" i="1"/>
  <c r="W1316" i="1"/>
  <c r="V1316" i="1"/>
  <c r="U1316" i="1"/>
  <c r="T1316" i="1"/>
  <c r="S1316" i="1"/>
  <c r="R1316" i="1"/>
  <c r="Q1316" i="1"/>
  <c r="U1313" i="1"/>
  <c r="T1313" i="1"/>
  <c r="S1313" i="1"/>
  <c r="R1313" i="1"/>
  <c r="Q1313" i="1"/>
  <c r="V1311" i="1"/>
  <c r="U1311" i="1"/>
  <c r="T1311" i="1"/>
  <c r="S1311" i="1"/>
  <c r="R1311" i="1"/>
  <c r="Q1311" i="1"/>
  <c r="Q1310" i="1"/>
  <c r="S1309" i="1"/>
  <c r="R1309" i="1"/>
  <c r="Q1309" i="1"/>
  <c r="Q1308" i="1"/>
  <c r="Q1307" i="1"/>
  <c r="S1305" i="1"/>
  <c r="R1305" i="1"/>
  <c r="Q1305" i="1"/>
  <c r="S1304" i="1"/>
  <c r="R1304" i="1"/>
  <c r="Q1304" i="1"/>
  <c r="Z1303" i="1"/>
  <c r="Y1303" i="1"/>
  <c r="X1303" i="1"/>
  <c r="W1303" i="1"/>
  <c r="V1303" i="1"/>
  <c r="U1303" i="1"/>
  <c r="T1303" i="1"/>
  <c r="S1303" i="1"/>
  <c r="R1303" i="1"/>
  <c r="Q1303" i="1"/>
  <c r="V1302" i="1"/>
  <c r="U1302" i="1"/>
  <c r="T1302" i="1"/>
  <c r="S1302" i="1"/>
  <c r="R1302" i="1"/>
  <c r="Q1302" i="1"/>
  <c r="Q1301" i="1"/>
  <c r="R1299" i="1"/>
  <c r="Q1299" i="1"/>
  <c r="T1298" i="1"/>
  <c r="S1298" i="1"/>
  <c r="R1298" i="1"/>
  <c r="Q1298" i="1"/>
  <c r="Q1295" i="1"/>
  <c r="Q1294" i="1"/>
  <c r="Q1292" i="1"/>
  <c r="X1291" i="1"/>
  <c r="W1291" i="1"/>
  <c r="V1291" i="1"/>
  <c r="U1291" i="1"/>
  <c r="T1291" i="1"/>
  <c r="S1291" i="1"/>
  <c r="R1291" i="1"/>
  <c r="Q1291" i="1"/>
  <c r="R1289" i="1"/>
  <c r="Q1289" i="1"/>
  <c r="R1286" i="1"/>
  <c r="Q1286" i="1"/>
  <c r="R1285" i="1"/>
  <c r="Q1285" i="1"/>
  <c r="S1281" i="1"/>
  <c r="R1281" i="1"/>
  <c r="Q1281" i="1"/>
  <c r="Q1279" i="1"/>
  <c r="V1278" i="1"/>
  <c r="U1278" i="1"/>
  <c r="T1278" i="1"/>
  <c r="S1278" i="1"/>
  <c r="R1278" i="1"/>
  <c r="Q1278" i="1"/>
  <c r="V1276" i="1"/>
  <c r="U1276" i="1"/>
  <c r="T1276" i="1"/>
  <c r="S1276" i="1"/>
  <c r="R1276" i="1"/>
  <c r="Q1276" i="1"/>
  <c r="W1275" i="1"/>
  <c r="V1275" i="1"/>
  <c r="U1275" i="1"/>
  <c r="T1275" i="1"/>
  <c r="S1275" i="1"/>
  <c r="R1275" i="1"/>
  <c r="Q1275" i="1"/>
  <c r="Q1274" i="1"/>
  <c r="V1273" i="1"/>
  <c r="U1273" i="1"/>
  <c r="T1273" i="1"/>
  <c r="S1273" i="1"/>
  <c r="R1273" i="1"/>
  <c r="Q1273" i="1"/>
  <c r="T1272" i="1"/>
  <c r="S1272" i="1"/>
  <c r="R1272" i="1"/>
  <c r="Q1272" i="1"/>
  <c r="Q1269" i="1"/>
  <c r="R1268" i="1"/>
  <c r="Q1268" i="1"/>
  <c r="R1267" i="1"/>
  <c r="Q1267" i="1"/>
  <c r="T1265" i="1"/>
  <c r="S1265" i="1"/>
  <c r="R1265" i="1"/>
  <c r="Q1265" i="1"/>
  <c r="V1264" i="1"/>
  <c r="U1264" i="1"/>
  <c r="T1264" i="1"/>
  <c r="S1264" i="1"/>
  <c r="R1264" i="1"/>
  <c r="Q1264" i="1"/>
  <c r="U1263" i="1"/>
  <c r="T1263" i="1"/>
  <c r="S1263" i="1"/>
  <c r="R1263" i="1"/>
  <c r="Q1263" i="1"/>
  <c r="Z1258" i="1"/>
  <c r="Y1258" i="1"/>
  <c r="X1258" i="1"/>
  <c r="W1258" i="1"/>
  <c r="V1258" i="1"/>
  <c r="U1258" i="1"/>
  <c r="T1258" i="1"/>
  <c r="S1258" i="1"/>
  <c r="R1258" i="1"/>
  <c r="Q1258" i="1"/>
  <c r="U1255" i="1"/>
  <c r="T1255" i="1"/>
  <c r="S1255" i="1"/>
  <c r="R1255" i="1"/>
  <c r="Q1255" i="1"/>
  <c r="R1253" i="1"/>
  <c r="Q1253" i="1"/>
  <c r="S1252" i="1"/>
  <c r="R1252" i="1"/>
  <c r="Q1252" i="1"/>
  <c r="V1247" i="1"/>
  <c r="U1247" i="1"/>
  <c r="T1247" i="1"/>
  <c r="S1247" i="1"/>
  <c r="R1247" i="1"/>
  <c r="Q1247" i="1"/>
  <c r="AB1246" i="1"/>
  <c r="AA1246" i="1"/>
  <c r="Z1246" i="1"/>
  <c r="Y1246" i="1"/>
  <c r="X1246" i="1"/>
  <c r="W1246" i="1"/>
  <c r="V1246" i="1"/>
  <c r="U1246" i="1"/>
  <c r="T1246" i="1"/>
  <c r="S1246" i="1"/>
  <c r="R1246" i="1"/>
  <c r="Q1246" i="1"/>
  <c r="Q1245" i="1"/>
  <c r="S1244" i="1"/>
  <c r="R1244" i="1"/>
  <c r="Q1244" i="1"/>
  <c r="S1243" i="1"/>
  <c r="R1243" i="1"/>
  <c r="Q1243" i="1"/>
  <c r="Q1241" i="1"/>
  <c r="S1240" i="1"/>
  <c r="R1240" i="1"/>
  <c r="Q1240" i="1"/>
  <c r="U1239" i="1"/>
  <c r="T1239" i="1"/>
  <c r="S1239" i="1"/>
  <c r="R1239" i="1"/>
  <c r="Q1239" i="1"/>
  <c r="W1238" i="1"/>
  <c r="V1238" i="1"/>
  <c r="U1238" i="1"/>
  <c r="T1238" i="1"/>
  <c r="S1238" i="1"/>
  <c r="R1238" i="1"/>
  <c r="Q1238" i="1"/>
  <c r="U1233" i="1"/>
  <c r="T1233" i="1"/>
  <c r="S1233" i="1"/>
  <c r="R1233" i="1"/>
  <c r="Q1233" i="1"/>
  <c r="W1232" i="1"/>
  <c r="V1232" i="1"/>
  <c r="U1232" i="1"/>
  <c r="T1232" i="1"/>
  <c r="S1232" i="1"/>
  <c r="R1232" i="1"/>
  <c r="Q1232" i="1"/>
  <c r="V1229" i="1"/>
  <c r="U1229" i="1"/>
  <c r="T1229" i="1"/>
  <c r="S1229" i="1"/>
  <c r="R1229" i="1"/>
  <c r="Q1229" i="1"/>
  <c r="S1226" i="1"/>
  <c r="R1226" i="1"/>
  <c r="Q1226" i="1"/>
  <c r="R1219" i="1"/>
  <c r="Q1219" i="1"/>
  <c r="Q1218" i="1"/>
  <c r="Q1216" i="1"/>
  <c r="R1215" i="1"/>
  <c r="Q1215" i="1"/>
  <c r="Q1211" i="1"/>
  <c r="Q1207" i="1"/>
  <c r="V1205" i="1"/>
  <c r="U1205" i="1"/>
  <c r="T1205" i="1"/>
  <c r="S1205" i="1"/>
  <c r="R1205" i="1"/>
  <c r="Q1205" i="1"/>
  <c r="S1203" i="1"/>
  <c r="R1203" i="1"/>
  <c r="Q1203" i="1"/>
  <c r="X1202" i="1"/>
  <c r="W1202" i="1"/>
  <c r="V1202" i="1"/>
  <c r="U1202" i="1"/>
  <c r="T1202" i="1"/>
  <c r="S1202" i="1"/>
  <c r="R1202" i="1"/>
  <c r="Q1202" i="1"/>
  <c r="R1201" i="1"/>
  <c r="Q1201" i="1"/>
  <c r="V1198" i="1"/>
  <c r="U1198" i="1"/>
  <c r="T1198" i="1"/>
  <c r="S1198" i="1"/>
  <c r="R1198" i="1"/>
  <c r="Q1198" i="1"/>
  <c r="R1195" i="1"/>
  <c r="Q1195" i="1"/>
  <c r="R1191" i="1"/>
  <c r="Q1191" i="1"/>
  <c r="X1190" i="1"/>
  <c r="W1190" i="1"/>
  <c r="V1190" i="1"/>
  <c r="U1190" i="1"/>
  <c r="T1190" i="1"/>
  <c r="S1190" i="1"/>
  <c r="R1190" i="1"/>
  <c r="Q1190" i="1"/>
  <c r="Z1189" i="1"/>
  <c r="Y1189" i="1"/>
  <c r="X1189" i="1"/>
  <c r="W1189" i="1"/>
  <c r="V1189" i="1"/>
  <c r="U1189" i="1"/>
  <c r="T1189" i="1"/>
  <c r="S1189" i="1"/>
  <c r="R1189" i="1"/>
  <c r="Q1189" i="1"/>
  <c r="V1188" i="1"/>
  <c r="U1188" i="1"/>
  <c r="T1188" i="1"/>
  <c r="S1188" i="1"/>
  <c r="R1188" i="1"/>
  <c r="Q1188" i="1"/>
  <c r="S1187" i="1"/>
  <c r="R1187" i="1"/>
  <c r="Q1187" i="1"/>
  <c r="Z1185" i="1"/>
  <c r="Y1185" i="1"/>
  <c r="X1185" i="1"/>
  <c r="W1185" i="1"/>
  <c r="V1185" i="1"/>
  <c r="U1185" i="1"/>
  <c r="T1185" i="1"/>
  <c r="S1185" i="1"/>
  <c r="R1185" i="1"/>
  <c r="Q1185" i="1"/>
  <c r="V1184" i="1"/>
  <c r="U1184" i="1"/>
  <c r="T1184" i="1"/>
  <c r="S1184" i="1"/>
  <c r="R1184" i="1"/>
  <c r="Q1184" i="1"/>
  <c r="Q1183" i="1"/>
  <c r="S1181" i="1"/>
  <c r="R1181" i="1"/>
  <c r="Q1181" i="1"/>
  <c r="Q1176" i="1"/>
  <c r="V1173" i="1"/>
  <c r="U1173" i="1"/>
  <c r="T1173" i="1"/>
  <c r="S1173" i="1"/>
  <c r="R1173" i="1"/>
  <c r="Q1173" i="1"/>
  <c r="Z1172" i="1"/>
  <c r="Y1172" i="1"/>
  <c r="X1172" i="1"/>
  <c r="W1172" i="1"/>
  <c r="V1172" i="1"/>
  <c r="U1172" i="1"/>
  <c r="T1172" i="1"/>
  <c r="S1172" i="1"/>
  <c r="R1172" i="1"/>
  <c r="Q1172" i="1"/>
  <c r="T1171" i="1"/>
  <c r="S1171" i="1"/>
  <c r="R1171" i="1"/>
  <c r="Q1171" i="1"/>
  <c r="Q1170" i="1"/>
  <c r="U1168" i="1"/>
  <c r="T1168" i="1"/>
  <c r="S1168" i="1"/>
  <c r="R1168" i="1"/>
  <c r="Q1168" i="1"/>
  <c r="Q1167" i="1"/>
  <c r="Z1164" i="1"/>
  <c r="Y1164" i="1"/>
  <c r="X1164" i="1"/>
  <c r="W1164" i="1"/>
  <c r="V1164" i="1"/>
  <c r="U1164" i="1"/>
  <c r="T1164" i="1"/>
  <c r="S1164" i="1"/>
  <c r="R1164" i="1"/>
  <c r="Q1164" i="1"/>
  <c r="R1163" i="1"/>
  <c r="Q1163" i="1"/>
  <c r="Q1161" i="1"/>
  <c r="Q1160" i="1"/>
  <c r="U1159" i="1"/>
  <c r="T1159" i="1"/>
  <c r="S1159" i="1"/>
  <c r="R1159" i="1"/>
  <c r="Q1159" i="1"/>
  <c r="V1157" i="1"/>
  <c r="U1157" i="1"/>
  <c r="T1157" i="1"/>
  <c r="S1157" i="1"/>
  <c r="R1157" i="1"/>
  <c r="Q1157" i="1"/>
  <c r="Q1155" i="1"/>
  <c r="V1154" i="1"/>
  <c r="U1154" i="1"/>
  <c r="T1154" i="1"/>
  <c r="S1154" i="1"/>
  <c r="R1154" i="1"/>
  <c r="Q1154" i="1"/>
  <c r="AE1153" i="1"/>
  <c r="AD1153" i="1"/>
  <c r="AC1153" i="1"/>
  <c r="AB1153" i="1"/>
  <c r="AA1153" i="1"/>
  <c r="Z1153" i="1"/>
  <c r="Y1153" i="1"/>
  <c r="X1153" i="1"/>
  <c r="W1153" i="1"/>
  <c r="V1153" i="1"/>
  <c r="U1153" i="1"/>
  <c r="T1153" i="1"/>
  <c r="S1153" i="1"/>
  <c r="R1153" i="1"/>
  <c r="Q1153" i="1"/>
  <c r="R1151" i="1"/>
  <c r="Q1151" i="1"/>
  <c r="AE1150" i="1"/>
  <c r="AD1150" i="1"/>
  <c r="AC1150" i="1"/>
  <c r="AB1150" i="1"/>
  <c r="AA1150" i="1"/>
  <c r="Z1150" i="1"/>
  <c r="Y1150" i="1"/>
  <c r="X1150" i="1"/>
  <c r="W1150" i="1"/>
  <c r="V1150" i="1"/>
  <c r="U1150" i="1"/>
  <c r="T1150" i="1"/>
  <c r="S1150" i="1"/>
  <c r="R1150" i="1"/>
  <c r="Q1150" i="1"/>
  <c r="R1147" i="1"/>
  <c r="Q1147" i="1"/>
  <c r="U1146" i="1"/>
  <c r="T1146" i="1"/>
  <c r="S1146" i="1"/>
  <c r="R1146" i="1"/>
  <c r="Q1146" i="1"/>
  <c r="Q1145" i="1"/>
  <c r="R1144" i="1"/>
  <c r="Q1144" i="1"/>
  <c r="Q1142" i="1"/>
  <c r="Q1140" i="1"/>
  <c r="T1139" i="1"/>
  <c r="S1139" i="1"/>
  <c r="R1139" i="1"/>
  <c r="Q1139" i="1"/>
  <c r="V1138" i="1"/>
  <c r="U1138" i="1"/>
  <c r="T1138" i="1"/>
  <c r="S1138" i="1"/>
  <c r="R1138" i="1"/>
  <c r="Q1138" i="1"/>
  <c r="T1137" i="1"/>
  <c r="S1137" i="1"/>
  <c r="R1137" i="1"/>
  <c r="Q1137" i="1"/>
  <c r="Z1136" i="1"/>
  <c r="Y1136" i="1"/>
  <c r="X1136" i="1"/>
  <c r="W1136" i="1"/>
  <c r="V1136" i="1"/>
  <c r="U1136" i="1"/>
  <c r="T1136" i="1"/>
  <c r="S1136" i="1"/>
  <c r="R1136" i="1"/>
  <c r="Q1136" i="1"/>
  <c r="AE1135" i="1"/>
  <c r="AD1135" i="1"/>
  <c r="AC1135" i="1"/>
  <c r="AB1135" i="1"/>
  <c r="AA1135" i="1"/>
  <c r="Z1135" i="1"/>
  <c r="Y1135" i="1"/>
  <c r="X1135" i="1"/>
  <c r="W1135" i="1"/>
  <c r="V1135" i="1"/>
  <c r="U1135" i="1"/>
  <c r="T1135" i="1"/>
  <c r="S1135" i="1"/>
  <c r="R1135" i="1"/>
  <c r="Q1135" i="1"/>
  <c r="R1133" i="1"/>
  <c r="Q1133" i="1"/>
  <c r="AE1130" i="1"/>
  <c r="AD1130" i="1"/>
  <c r="AC1130" i="1"/>
  <c r="AB1130" i="1"/>
  <c r="AA1130" i="1"/>
  <c r="Z1130" i="1"/>
  <c r="Y1130" i="1"/>
  <c r="X1130" i="1"/>
  <c r="W1130" i="1"/>
  <c r="V1130" i="1"/>
  <c r="U1130" i="1"/>
  <c r="T1130" i="1"/>
  <c r="S1130" i="1"/>
  <c r="R1130" i="1"/>
  <c r="Q1130" i="1"/>
  <c r="Q1123" i="1"/>
  <c r="R1122" i="1"/>
  <c r="Q1122" i="1"/>
  <c r="Q1121" i="1"/>
  <c r="U1120" i="1"/>
  <c r="T1120" i="1"/>
  <c r="S1120" i="1"/>
  <c r="R1120" i="1"/>
  <c r="Q1120" i="1"/>
  <c r="T1115" i="1"/>
  <c r="S1115" i="1"/>
  <c r="R1115" i="1"/>
  <c r="Q1115" i="1"/>
  <c r="R1114" i="1"/>
  <c r="Q1114" i="1"/>
  <c r="Q1113" i="1"/>
  <c r="R1112" i="1"/>
  <c r="Q1112" i="1"/>
  <c r="R1111" i="1"/>
  <c r="Q1111" i="1"/>
  <c r="S1108" i="1"/>
  <c r="R1108" i="1"/>
  <c r="Q1108" i="1"/>
  <c r="Q1106" i="1"/>
  <c r="R1103" i="1"/>
  <c r="Q1103" i="1"/>
  <c r="Z1102" i="1"/>
  <c r="Y1102" i="1"/>
  <c r="X1102" i="1"/>
  <c r="W1102" i="1"/>
  <c r="V1102" i="1"/>
  <c r="U1102" i="1"/>
  <c r="T1102" i="1"/>
  <c r="S1102" i="1"/>
  <c r="R1102" i="1"/>
  <c r="Q1102" i="1"/>
  <c r="Z1101" i="1"/>
  <c r="Y1101" i="1"/>
  <c r="X1101" i="1"/>
  <c r="W1101" i="1"/>
  <c r="V1101" i="1"/>
  <c r="U1101" i="1"/>
  <c r="T1101" i="1"/>
  <c r="S1101" i="1"/>
  <c r="R1101" i="1"/>
  <c r="Q1101" i="1"/>
  <c r="S1100" i="1"/>
  <c r="R1100" i="1"/>
  <c r="Q1100" i="1"/>
  <c r="Q1099" i="1"/>
  <c r="S1098" i="1"/>
  <c r="R1098" i="1"/>
  <c r="Q1098" i="1"/>
  <c r="S1097" i="1"/>
  <c r="R1097" i="1"/>
  <c r="Q1097" i="1"/>
  <c r="X1096" i="1"/>
  <c r="W1096" i="1"/>
  <c r="V1096" i="1"/>
  <c r="U1096" i="1"/>
  <c r="T1096" i="1"/>
  <c r="S1096" i="1"/>
  <c r="R1096" i="1"/>
  <c r="Q1096" i="1"/>
  <c r="R1093" i="1"/>
  <c r="Q1093" i="1"/>
  <c r="X1092" i="1"/>
  <c r="W1092" i="1"/>
  <c r="V1092" i="1"/>
  <c r="U1092" i="1"/>
  <c r="T1092" i="1"/>
  <c r="S1092" i="1"/>
  <c r="R1092" i="1"/>
  <c r="Q1092" i="1"/>
  <c r="T1090" i="1"/>
  <c r="S1090" i="1"/>
  <c r="R1090" i="1"/>
  <c r="Q1090" i="1"/>
  <c r="U1083" i="1"/>
  <c r="T1083" i="1"/>
  <c r="S1083" i="1"/>
  <c r="R1083" i="1"/>
  <c r="Q1083" i="1"/>
  <c r="U1081" i="1"/>
  <c r="T1081" i="1"/>
  <c r="S1081" i="1"/>
  <c r="R1081" i="1"/>
  <c r="Q1081" i="1"/>
  <c r="Q1079" i="1"/>
  <c r="T1078" i="1"/>
  <c r="S1078" i="1"/>
  <c r="R1078" i="1"/>
  <c r="Q1078" i="1"/>
  <c r="T1077" i="1"/>
  <c r="S1077" i="1"/>
  <c r="R1077" i="1"/>
  <c r="Q1077" i="1"/>
  <c r="S1074" i="1"/>
  <c r="R1074" i="1"/>
  <c r="Q1074" i="1"/>
  <c r="V1065" i="1"/>
  <c r="U1065" i="1"/>
  <c r="T1065" i="1"/>
  <c r="S1065" i="1"/>
  <c r="R1065" i="1"/>
  <c r="Q1065" i="1"/>
  <c r="X1062" i="1"/>
  <c r="W1062" i="1"/>
  <c r="V1062" i="1"/>
  <c r="U1062" i="1"/>
  <c r="T1062" i="1"/>
  <c r="S1062" i="1"/>
  <c r="R1062" i="1"/>
  <c r="Q1062" i="1"/>
  <c r="T1061" i="1"/>
  <c r="S1061" i="1"/>
  <c r="R1061" i="1"/>
  <c r="Q1061" i="1"/>
  <c r="Y1060" i="1"/>
  <c r="X1060" i="1"/>
  <c r="W1060" i="1"/>
  <c r="V1060" i="1"/>
  <c r="U1060" i="1"/>
  <c r="T1060" i="1"/>
  <c r="S1060" i="1"/>
  <c r="R1060" i="1"/>
  <c r="Q1060" i="1"/>
  <c r="Q1059" i="1"/>
  <c r="Q1057" i="1"/>
  <c r="Q1056" i="1"/>
  <c r="S1054" i="1"/>
  <c r="R1054" i="1"/>
  <c r="Q1054" i="1"/>
  <c r="Q1051" i="1"/>
  <c r="U1049" i="1"/>
  <c r="T1049" i="1"/>
  <c r="S1049" i="1"/>
  <c r="R1049" i="1"/>
  <c r="Q1049" i="1"/>
  <c r="V1047" i="1"/>
  <c r="U1047" i="1"/>
  <c r="T1047" i="1"/>
  <c r="S1047" i="1"/>
  <c r="R1047" i="1"/>
  <c r="Q1047" i="1"/>
  <c r="U1046" i="1"/>
  <c r="T1046" i="1"/>
  <c r="S1046" i="1"/>
  <c r="R1046" i="1"/>
  <c r="Q1046" i="1"/>
  <c r="Q1045" i="1"/>
  <c r="Q1043" i="1"/>
  <c r="T1042" i="1"/>
  <c r="S1042" i="1"/>
  <c r="R1042" i="1"/>
  <c r="Q1042" i="1"/>
  <c r="V1040" i="1"/>
  <c r="U1040" i="1"/>
  <c r="T1040" i="1"/>
  <c r="S1040" i="1"/>
  <c r="R1040" i="1"/>
  <c r="Q1040" i="1"/>
  <c r="U1039" i="1"/>
  <c r="T1039" i="1"/>
  <c r="S1039" i="1"/>
  <c r="R1039" i="1"/>
  <c r="Q1039" i="1"/>
  <c r="W1037" i="1"/>
  <c r="V1037" i="1"/>
  <c r="U1037" i="1"/>
  <c r="T1037" i="1"/>
  <c r="S1037" i="1"/>
  <c r="R1037" i="1"/>
  <c r="Q1037" i="1"/>
  <c r="Q1033" i="1"/>
  <c r="U1029" i="1"/>
  <c r="T1029" i="1"/>
  <c r="S1029" i="1"/>
  <c r="R1029" i="1"/>
  <c r="Q1029" i="1"/>
  <c r="Q1024" i="1"/>
  <c r="Q1023" i="1"/>
  <c r="S1022" i="1"/>
  <c r="R1022" i="1"/>
  <c r="Q1022" i="1"/>
  <c r="T1021" i="1"/>
  <c r="S1021" i="1"/>
  <c r="R1021" i="1"/>
  <c r="Q1021" i="1"/>
  <c r="T1019" i="1"/>
  <c r="S1019" i="1"/>
  <c r="R1019" i="1"/>
  <c r="Q1019" i="1"/>
  <c r="T1016" i="1"/>
  <c r="S1016" i="1"/>
  <c r="R1016" i="1"/>
  <c r="Q1016" i="1"/>
  <c r="Q1011" i="1"/>
  <c r="R1010" i="1"/>
  <c r="Q1010" i="1"/>
  <c r="Q1009" i="1"/>
  <c r="AU1005" i="1"/>
  <c r="AT1005" i="1"/>
  <c r="AS1005" i="1"/>
  <c r="AR1005" i="1"/>
  <c r="AQ1005" i="1"/>
  <c r="AP1005" i="1"/>
  <c r="AO1005" i="1"/>
  <c r="AN1005" i="1"/>
  <c r="AM1005" i="1"/>
  <c r="AL1005" i="1"/>
  <c r="AK1005" i="1"/>
  <c r="AJ1005" i="1"/>
  <c r="AI1005" i="1"/>
  <c r="AH1005" i="1"/>
  <c r="AG1005" i="1"/>
  <c r="AF1005" i="1"/>
  <c r="AE1005" i="1"/>
  <c r="AD1005" i="1"/>
  <c r="AC1005" i="1"/>
  <c r="AB1005" i="1"/>
  <c r="AA1005" i="1"/>
  <c r="Z1005" i="1"/>
  <c r="Y1005" i="1"/>
  <c r="X1005" i="1"/>
  <c r="W1005" i="1"/>
  <c r="V1005" i="1"/>
  <c r="U1005" i="1"/>
  <c r="T1005" i="1"/>
  <c r="S1005" i="1"/>
  <c r="R1005" i="1"/>
  <c r="Q1005" i="1"/>
  <c r="R1003" i="1"/>
  <c r="Q1003" i="1"/>
  <c r="Q1001" i="1"/>
  <c r="U999" i="1"/>
  <c r="T999" i="1"/>
  <c r="S999" i="1"/>
  <c r="R999" i="1"/>
  <c r="Q999" i="1"/>
  <c r="Q998" i="1"/>
  <c r="Q997" i="1"/>
  <c r="T993" i="1"/>
  <c r="S993" i="1"/>
  <c r="R993" i="1"/>
  <c r="Q993" i="1"/>
  <c r="S991" i="1"/>
  <c r="R991" i="1"/>
  <c r="Q991" i="1"/>
  <c r="S990" i="1"/>
  <c r="R990" i="1"/>
  <c r="Q990" i="1"/>
  <c r="U989" i="1"/>
  <c r="T989" i="1"/>
  <c r="S989" i="1"/>
  <c r="R989" i="1"/>
  <c r="Q989" i="1"/>
  <c r="U986" i="1"/>
  <c r="T986" i="1"/>
  <c r="S986" i="1"/>
  <c r="R986" i="1"/>
  <c r="Q986" i="1"/>
  <c r="R984" i="1"/>
  <c r="Q984" i="1"/>
  <c r="V983" i="1"/>
  <c r="U983" i="1"/>
  <c r="T983" i="1"/>
  <c r="S983" i="1"/>
  <c r="R983" i="1"/>
  <c r="Q983" i="1"/>
  <c r="R982" i="1"/>
  <c r="Q982" i="1"/>
  <c r="S979" i="1"/>
  <c r="R979" i="1"/>
  <c r="Q979" i="1"/>
  <c r="R976" i="1"/>
  <c r="Q976" i="1"/>
  <c r="Q974" i="1"/>
  <c r="V973" i="1"/>
  <c r="U973" i="1"/>
  <c r="T973" i="1"/>
  <c r="S973" i="1"/>
  <c r="R973" i="1"/>
  <c r="Q973" i="1"/>
  <c r="Q972" i="1"/>
  <c r="Q971" i="1"/>
  <c r="AA970" i="1"/>
  <c r="Z970" i="1"/>
  <c r="Y970" i="1"/>
  <c r="X970" i="1"/>
  <c r="W970" i="1"/>
  <c r="V970" i="1"/>
  <c r="U970" i="1"/>
  <c r="T970" i="1"/>
  <c r="S970" i="1"/>
  <c r="R970" i="1"/>
  <c r="Q970" i="1"/>
  <c r="R968" i="1"/>
  <c r="Q968" i="1"/>
  <c r="R966" i="1"/>
  <c r="Q966" i="1"/>
  <c r="S965" i="1"/>
  <c r="R965" i="1"/>
  <c r="Q965" i="1"/>
  <c r="Q964" i="1"/>
  <c r="R960" i="1"/>
  <c r="Q960" i="1"/>
  <c r="R958" i="1"/>
  <c r="Q958" i="1"/>
  <c r="Q957" i="1"/>
  <c r="Q955" i="1"/>
  <c r="S953" i="1"/>
  <c r="R953" i="1"/>
  <c r="Q953" i="1"/>
  <c r="V946" i="1"/>
  <c r="U946" i="1"/>
  <c r="T946" i="1"/>
  <c r="S946" i="1"/>
  <c r="R946" i="1"/>
  <c r="Q946" i="1"/>
  <c r="Q945" i="1"/>
  <c r="Q944" i="1"/>
  <c r="V943" i="1"/>
  <c r="U943" i="1"/>
  <c r="T943" i="1"/>
  <c r="S943" i="1"/>
  <c r="R943" i="1"/>
  <c r="Q943" i="1"/>
  <c r="R942" i="1"/>
  <c r="Q942" i="1"/>
  <c r="Q938" i="1"/>
  <c r="Z937" i="1"/>
  <c r="Y937" i="1"/>
  <c r="X937" i="1"/>
  <c r="W937" i="1"/>
  <c r="V937" i="1"/>
  <c r="U937" i="1"/>
  <c r="T937" i="1"/>
  <c r="S937" i="1"/>
  <c r="R937" i="1"/>
  <c r="Q937" i="1"/>
  <c r="U929" i="1"/>
  <c r="T929" i="1"/>
  <c r="S929" i="1"/>
  <c r="R929" i="1"/>
  <c r="Q929" i="1"/>
  <c r="Q928" i="1"/>
  <c r="R925" i="1"/>
  <c r="Q925" i="1"/>
  <c r="V924" i="1"/>
  <c r="U924" i="1"/>
  <c r="T924" i="1"/>
  <c r="S924" i="1"/>
  <c r="R924" i="1"/>
  <c r="Q924" i="1"/>
  <c r="Q923" i="1"/>
  <c r="S922" i="1"/>
  <c r="R922" i="1"/>
  <c r="Q922" i="1"/>
  <c r="V920" i="1"/>
  <c r="U920" i="1"/>
  <c r="T920" i="1"/>
  <c r="S920" i="1"/>
  <c r="R920" i="1"/>
  <c r="Q920" i="1"/>
  <c r="U918" i="1"/>
  <c r="T918" i="1"/>
  <c r="S918" i="1"/>
  <c r="R918" i="1"/>
  <c r="Q918" i="1"/>
  <c r="V917" i="1"/>
  <c r="U917" i="1"/>
  <c r="T917" i="1"/>
  <c r="S917" i="1"/>
  <c r="R917" i="1"/>
  <c r="Q917" i="1"/>
  <c r="R916" i="1"/>
  <c r="Q916" i="1"/>
  <c r="AE914" i="1"/>
  <c r="AD914" i="1"/>
  <c r="AC914" i="1"/>
  <c r="AB914" i="1"/>
  <c r="AA914" i="1"/>
  <c r="Z914" i="1"/>
  <c r="Y914" i="1"/>
  <c r="X914" i="1"/>
  <c r="W914" i="1"/>
  <c r="V914" i="1"/>
  <c r="U914" i="1"/>
  <c r="T914" i="1"/>
  <c r="S914" i="1"/>
  <c r="R914" i="1"/>
  <c r="Q914" i="1"/>
  <c r="Q912" i="1"/>
  <c r="AG911" i="1"/>
  <c r="AF911" i="1"/>
  <c r="AE911" i="1"/>
  <c r="AD911" i="1"/>
  <c r="AC911" i="1"/>
  <c r="AB911" i="1"/>
  <c r="AA911" i="1"/>
  <c r="Z911" i="1"/>
  <c r="Y911" i="1"/>
  <c r="X911" i="1"/>
  <c r="W911" i="1"/>
  <c r="V911" i="1"/>
  <c r="U911" i="1"/>
  <c r="T911" i="1"/>
  <c r="S911" i="1"/>
  <c r="R911" i="1"/>
  <c r="Q911" i="1"/>
  <c r="U909" i="1"/>
  <c r="T909" i="1"/>
  <c r="S909" i="1"/>
  <c r="R909" i="1"/>
  <c r="Q909" i="1"/>
  <c r="T903" i="1"/>
  <c r="S903" i="1"/>
  <c r="R903" i="1"/>
  <c r="Q903" i="1"/>
  <c r="Q901" i="1"/>
  <c r="AE899" i="1"/>
  <c r="AD899" i="1"/>
  <c r="AC899" i="1"/>
  <c r="AB899" i="1"/>
  <c r="AA899" i="1"/>
  <c r="Z899" i="1"/>
  <c r="Y899" i="1"/>
  <c r="X899" i="1"/>
  <c r="W899" i="1"/>
  <c r="V899" i="1"/>
  <c r="U899" i="1"/>
  <c r="T899" i="1"/>
  <c r="S899" i="1"/>
  <c r="R899" i="1"/>
  <c r="Q899" i="1"/>
  <c r="S898" i="1"/>
  <c r="R898" i="1"/>
  <c r="Q898" i="1"/>
  <c r="V896" i="1"/>
  <c r="U896" i="1"/>
  <c r="T896" i="1"/>
  <c r="S896" i="1"/>
  <c r="R896" i="1"/>
  <c r="Q896" i="1"/>
  <c r="S894" i="1"/>
  <c r="R894" i="1"/>
  <c r="Q894" i="1"/>
  <c r="AE892" i="1"/>
  <c r="AD892" i="1"/>
  <c r="AC892" i="1"/>
  <c r="AB892" i="1"/>
  <c r="AA892" i="1"/>
  <c r="Z892" i="1"/>
  <c r="Y892" i="1"/>
  <c r="X892" i="1"/>
  <c r="W892" i="1"/>
  <c r="V892" i="1"/>
  <c r="U892" i="1"/>
  <c r="T892" i="1"/>
  <c r="S892" i="1"/>
  <c r="R892" i="1"/>
  <c r="Q892" i="1"/>
  <c r="V890" i="1"/>
  <c r="U890" i="1"/>
  <c r="T890" i="1"/>
  <c r="S890" i="1"/>
  <c r="R890" i="1"/>
  <c r="Q890" i="1"/>
  <c r="X889" i="1"/>
  <c r="W889" i="1"/>
  <c r="V889" i="1"/>
  <c r="U889" i="1"/>
  <c r="T889" i="1"/>
  <c r="S889" i="1"/>
  <c r="R889" i="1"/>
  <c r="Q889" i="1"/>
  <c r="Q887" i="1"/>
  <c r="S882" i="1"/>
  <c r="R882" i="1"/>
  <c r="Q882" i="1"/>
  <c r="X881" i="1"/>
  <c r="W881" i="1"/>
  <c r="V881" i="1"/>
  <c r="U881" i="1"/>
  <c r="T881" i="1"/>
  <c r="S881" i="1"/>
  <c r="R881" i="1"/>
  <c r="Q881" i="1"/>
  <c r="R880" i="1"/>
  <c r="Q880" i="1"/>
  <c r="S879" i="1"/>
  <c r="R879" i="1"/>
  <c r="Q879" i="1"/>
  <c r="T878" i="1"/>
  <c r="S878" i="1"/>
  <c r="R878" i="1"/>
  <c r="Q878" i="1"/>
  <c r="T871" i="1"/>
  <c r="S871" i="1"/>
  <c r="R871" i="1"/>
  <c r="Q871" i="1"/>
  <c r="V870" i="1"/>
  <c r="U870" i="1"/>
  <c r="T870" i="1"/>
  <c r="S870" i="1"/>
  <c r="R870" i="1"/>
  <c r="Q870" i="1"/>
  <c r="Q867" i="1"/>
  <c r="R866" i="1"/>
  <c r="Q866" i="1"/>
  <c r="AE862" i="1"/>
  <c r="AD862" i="1"/>
  <c r="AC862" i="1"/>
  <c r="AB862" i="1"/>
  <c r="AA862" i="1"/>
  <c r="Z862" i="1"/>
  <c r="Y862" i="1"/>
  <c r="X862" i="1"/>
  <c r="W862" i="1"/>
  <c r="V862" i="1"/>
  <c r="U862" i="1"/>
  <c r="T862" i="1"/>
  <c r="S862" i="1"/>
  <c r="R862" i="1"/>
  <c r="Q862" i="1"/>
  <c r="Z861" i="1"/>
  <c r="Y861" i="1"/>
  <c r="X861" i="1"/>
  <c r="W861" i="1"/>
  <c r="V861" i="1"/>
  <c r="U861" i="1"/>
  <c r="T861" i="1"/>
  <c r="S861" i="1"/>
  <c r="R861" i="1"/>
  <c r="Q861" i="1"/>
  <c r="T859" i="1"/>
  <c r="S859" i="1"/>
  <c r="R859" i="1"/>
  <c r="Q859" i="1"/>
  <c r="R858" i="1"/>
  <c r="Q858" i="1"/>
  <c r="U857" i="1"/>
  <c r="T857" i="1"/>
  <c r="S857" i="1"/>
  <c r="R857" i="1"/>
  <c r="Q857" i="1"/>
  <c r="U853" i="1"/>
  <c r="T853" i="1"/>
  <c r="S853" i="1"/>
  <c r="R853" i="1"/>
  <c r="Q853" i="1"/>
  <c r="Q852" i="1"/>
  <c r="T850" i="1"/>
  <c r="S850" i="1"/>
  <c r="R850" i="1"/>
  <c r="Q850" i="1"/>
  <c r="Q849" i="1"/>
  <c r="Q847" i="1"/>
  <c r="U845" i="1"/>
  <c r="T845" i="1"/>
  <c r="S845" i="1"/>
  <c r="R845" i="1"/>
  <c r="Q845" i="1"/>
  <c r="T844" i="1"/>
  <c r="S844" i="1"/>
  <c r="R844" i="1"/>
  <c r="Q844" i="1"/>
  <c r="S842" i="1"/>
  <c r="R842" i="1"/>
  <c r="Q842" i="1"/>
  <c r="V841" i="1"/>
  <c r="U841" i="1"/>
  <c r="T841" i="1"/>
  <c r="S841" i="1"/>
  <c r="R841" i="1"/>
  <c r="Q841" i="1"/>
  <c r="U840" i="1"/>
  <c r="T840" i="1"/>
  <c r="S840" i="1"/>
  <c r="R840" i="1"/>
  <c r="Q840" i="1"/>
  <c r="Q838" i="1"/>
  <c r="Q835" i="1"/>
  <c r="AE834" i="1"/>
  <c r="AD834" i="1"/>
  <c r="AC834" i="1"/>
  <c r="AB834" i="1"/>
  <c r="AA834" i="1"/>
  <c r="Z834" i="1"/>
  <c r="Y834" i="1"/>
  <c r="X834" i="1"/>
  <c r="W834" i="1"/>
  <c r="V834" i="1"/>
  <c r="U834" i="1"/>
  <c r="T834" i="1"/>
  <c r="S834" i="1"/>
  <c r="R834" i="1"/>
  <c r="Q834" i="1"/>
  <c r="T833" i="1"/>
  <c r="S833" i="1"/>
  <c r="R833" i="1"/>
  <c r="Q833" i="1"/>
  <c r="Q831" i="1"/>
  <c r="R830" i="1"/>
  <c r="Q830" i="1"/>
  <c r="R829" i="1"/>
  <c r="Q829" i="1"/>
  <c r="AE827" i="1"/>
  <c r="AD827" i="1"/>
  <c r="AC827" i="1"/>
  <c r="AB827" i="1"/>
  <c r="AA827" i="1"/>
  <c r="Z827" i="1"/>
  <c r="Y827" i="1"/>
  <c r="X827" i="1"/>
  <c r="W827" i="1"/>
  <c r="V827" i="1"/>
  <c r="U827" i="1"/>
  <c r="T827" i="1"/>
  <c r="S827" i="1"/>
  <c r="R827" i="1"/>
  <c r="Q827" i="1"/>
  <c r="Q826" i="1"/>
  <c r="Z821" i="1"/>
  <c r="Y821" i="1"/>
  <c r="X821" i="1"/>
  <c r="W821" i="1"/>
  <c r="V821" i="1"/>
  <c r="U821" i="1"/>
  <c r="T821" i="1"/>
  <c r="S821" i="1"/>
  <c r="R821" i="1"/>
  <c r="Q821" i="1"/>
  <c r="R819" i="1"/>
  <c r="Q819" i="1"/>
  <c r="V818" i="1"/>
  <c r="U818" i="1"/>
  <c r="T818" i="1"/>
  <c r="S818" i="1"/>
  <c r="R818" i="1"/>
  <c r="Q818" i="1"/>
  <c r="R816" i="1"/>
  <c r="Q816" i="1"/>
  <c r="R814" i="1"/>
  <c r="Q814" i="1"/>
  <c r="V809" i="1"/>
  <c r="U809" i="1"/>
  <c r="T809" i="1"/>
  <c r="S809" i="1"/>
  <c r="R809" i="1"/>
  <c r="Q809" i="1"/>
  <c r="S808" i="1"/>
  <c r="R808" i="1"/>
  <c r="Q808" i="1"/>
  <c r="T807" i="1"/>
  <c r="S807" i="1"/>
  <c r="R807" i="1"/>
  <c r="Q807" i="1"/>
  <c r="AE805" i="1"/>
  <c r="AD805" i="1"/>
  <c r="AC805" i="1"/>
  <c r="AB805" i="1"/>
  <c r="AA805" i="1"/>
  <c r="Z805" i="1"/>
  <c r="Y805" i="1"/>
  <c r="X805" i="1"/>
  <c r="W805" i="1"/>
  <c r="V805" i="1"/>
  <c r="U805" i="1"/>
  <c r="T805" i="1"/>
  <c r="S805" i="1"/>
  <c r="R805" i="1"/>
  <c r="Q805" i="1"/>
  <c r="R803" i="1"/>
  <c r="Q803" i="1"/>
  <c r="T802" i="1"/>
  <c r="S802" i="1"/>
  <c r="R802" i="1"/>
  <c r="Q802" i="1"/>
  <c r="T801" i="1"/>
  <c r="S801" i="1"/>
  <c r="R801" i="1"/>
  <c r="Q801" i="1"/>
  <c r="R800" i="1"/>
  <c r="Q800" i="1"/>
  <c r="Q799" i="1"/>
  <c r="R798" i="1"/>
  <c r="Q798" i="1"/>
  <c r="Q794" i="1"/>
  <c r="R792" i="1"/>
  <c r="Q792" i="1"/>
  <c r="R789" i="1"/>
  <c r="Q789" i="1"/>
  <c r="Q788" i="1"/>
  <c r="T787" i="1"/>
  <c r="S787" i="1"/>
  <c r="R787" i="1"/>
  <c r="Q787" i="1"/>
  <c r="R786" i="1"/>
  <c r="Q786" i="1"/>
  <c r="U784" i="1"/>
  <c r="T784" i="1"/>
  <c r="S784" i="1"/>
  <c r="R784" i="1"/>
  <c r="Q784" i="1"/>
  <c r="Q783" i="1"/>
  <c r="Q782" i="1"/>
  <c r="Q781" i="1"/>
  <c r="T779" i="1"/>
  <c r="S779" i="1"/>
  <c r="R779" i="1"/>
  <c r="Q779" i="1"/>
  <c r="S777" i="1"/>
  <c r="R777" i="1"/>
  <c r="Q777" i="1"/>
  <c r="T776" i="1"/>
  <c r="S776" i="1"/>
  <c r="R776" i="1"/>
  <c r="Q776" i="1"/>
  <c r="Q773" i="1"/>
  <c r="S770" i="1"/>
  <c r="R770" i="1"/>
  <c r="Q770" i="1"/>
  <c r="X769" i="1"/>
  <c r="W769" i="1"/>
  <c r="V769" i="1"/>
  <c r="U769" i="1"/>
  <c r="T769" i="1"/>
  <c r="S769" i="1"/>
  <c r="R769" i="1"/>
  <c r="Q769" i="1"/>
  <c r="R768" i="1"/>
  <c r="Q768" i="1"/>
  <c r="R766" i="1"/>
  <c r="Q766" i="1"/>
  <c r="Z765" i="1"/>
  <c r="Y765" i="1"/>
  <c r="X765" i="1"/>
  <c r="W765" i="1"/>
  <c r="V765" i="1"/>
  <c r="U765" i="1"/>
  <c r="T765" i="1"/>
  <c r="S765" i="1"/>
  <c r="R765" i="1"/>
  <c r="Q765" i="1"/>
  <c r="AE763" i="1"/>
  <c r="AD763" i="1"/>
  <c r="AC763" i="1"/>
  <c r="AB763" i="1"/>
  <c r="AA763" i="1"/>
  <c r="Z763" i="1"/>
  <c r="Y763" i="1"/>
  <c r="X763" i="1"/>
  <c r="W763" i="1"/>
  <c r="V763" i="1"/>
  <c r="U763" i="1"/>
  <c r="T763" i="1"/>
  <c r="S763" i="1"/>
  <c r="R763" i="1"/>
  <c r="Q763" i="1"/>
  <c r="W762" i="1"/>
  <c r="V762" i="1"/>
  <c r="U762" i="1"/>
  <c r="T762" i="1"/>
  <c r="S762" i="1"/>
  <c r="R762" i="1"/>
  <c r="Q762" i="1"/>
  <c r="Q761" i="1"/>
  <c r="T760" i="1"/>
  <c r="S760" i="1"/>
  <c r="R760" i="1"/>
  <c r="Q760" i="1"/>
  <c r="T759" i="1"/>
  <c r="S759" i="1"/>
  <c r="R759" i="1"/>
  <c r="Q759" i="1"/>
  <c r="S758" i="1"/>
  <c r="R758" i="1"/>
  <c r="Q758" i="1"/>
  <c r="Q757" i="1"/>
  <c r="X753" i="1"/>
  <c r="W753" i="1"/>
  <c r="V753" i="1"/>
  <c r="U753" i="1"/>
  <c r="T753" i="1"/>
  <c r="S753" i="1"/>
  <c r="R753" i="1"/>
  <c r="Q753" i="1"/>
  <c r="Q751" i="1"/>
  <c r="W749" i="1"/>
  <c r="V749" i="1"/>
  <c r="U749" i="1"/>
  <c r="T749" i="1"/>
  <c r="S749" i="1"/>
  <c r="R749" i="1"/>
  <c r="Q749" i="1"/>
  <c r="Q748" i="1"/>
  <c r="V747" i="1"/>
  <c r="U747" i="1"/>
  <c r="T747" i="1"/>
  <c r="S747" i="1"/>
  <c r="R747" i="1"/>
  <c r="Q747" i="1"/>
  <c r="T745" i="1"/>
  <c r="S745" i="1"/>
  <c r="R745" i="1"/>
  <c r="Q745" i="1"/>
  <c r="Q744" i="1"/>
  <c r="Q743" i="1"/>
  <c r="Q742" i="1"/>
  <c r="U741" i="1"/>
  <c r="T741" i="1"/>
  <c r="S741" i="1"/>
  <c r="R741" i="1"/>
  <c r="Q741" i="1"/>
  <c r="U740" i="1"/>
  <c r="T740" i="1"/>
  <c r="S740" i="1"/>
  <c r="R740" i="1"/>
  <c r="Q740" i="1"/>
  <c r="V739" i="1"/>
  <c r="U739" i="1"/>
  <c r="T739" i="1"/>
  <c r="S739" i="1"/>
  <c r="R739" i="1"/>
  <c r="Q739" i="1"/>
  <c r="Q738" i="1"/>
  <c r="Q737" i="1"/>
  <c r="V736" i="1"/>
  <c r="U736" i="1"/>
  <c r="T736" i="1"/>
  <c r="S736" i="1"/>
  <c r="R736" i="1"/>
  <c r="Q736" i="1"/>
  <c r="V734" i="1"/>
  <c r="U734" i="1"/>
  <c r="T734" i="1"/>
  <c r="S734" i="1"/>
  <c r="R734" i="1"/>
  <c r="Q734" i="1"/>
  <c r="S732" i="1"/>
  <c r="R732" i="1"/>
  <c r="Q732" i="1"/>
  <c r="U731" i="1"/>
  <c r="T731" i="1"/>
  <c r="S731" i="1"/>
  <c r="R731" i="1"/>
  <c r="Q731" i="1"/>
  <c r="U728" i="1"/>
  <c r="T728" i="1"/>
  <c r="S728" i="1"/>
  <c r="R728" i="1"/>
  <c r="Q728" i="1"/>
  <c r="Z727" i="1"/>
  <c r="Y727" i="1"/>
  <c r="X727" i="1"/>
  <c r="W727" i="1"/>
  <c r="V727" i="1"/>
  <c r="U727" i="1"/>
  <c r="T727" i="1"/>
  <c r="S727" i="1"/>
  <c r="R727" i="1"/>
  <c r="Q727" i="1"/>
  <c r="V725" i="1"/>
  <c r="U725" i="1"/>
  <c r="T725" i="1"/>
  <c r="S725" i="1"/>
  <c r="R725" i="1"/>
  <c r="Q725" i="1"/>
  <c r="S724" i="1"/>
  <c r="R724" i="1"/>
  <c r="Q724" i="1"/>
  <c r="V722" i="1"/>
  <c r="U722" i="1"/>
  <c r="T722" i="1"/>
  <c r="S722" i="1"/>
  <c r="R722" i="1"/>
  <c r="Q722" i="1"/>
  <c r="Q721" i="1"/>
  <c r="U720" i="1"/>
  <c r="T720" i="1"/>
  <c r="S720" i="1"/>
  <c r="R720" i="1"/>
  <c r="Q720" i="1"/>
  <c r="Z718" i="1"/>
  <c r="Y718" i="1"/>
  <c r="X718" i="1"/>
  <c r="W718" i="1"/>
  <c r="V718" i="1"/>
  <c r="U718" i="1"/>
  <c r="T718" i="1"/>
  <c r="S718" i="1"/>
  <c r="R718" i="1"/>
  <c r="Q718" i="1"/>
  <c r="Q714" i="1"/>
  <c r="U712" i="1"/>
  <c r="T712" i="1"/>
  <c r="S712" i="1"/>
  <c r="R712" i="1"/>
  <c r="Q712" i="1"/>
  <c r="Q710" i="1"/>
  <c r="Q709" i="1"/>
  <c r="T707" i="1"/>
  <c r="S707" i="1"/>
  <c r="R707" i="1"/>
  <c r="Q707" i="1"/>
  <c r="Q706" i="1"/>
  <c r="Q705" i="1"/>
  <c r="W704" i="1"/>
  <c r="V704" i="1"/>
  <c r="U704" i="1"/>
  <c r="T704" i="1"/>
  <c r="S704" i="1"/>
  <c r="R704" i="1"/>
  <c r="Q704" i="1"/>
  <c r="Q703" i="1"/>
  <c r="V702" i="1"/>
  <c r="U702" i="1"/>
  <c r="T702" i="1"/>
  <c r="S702" i="1"/>
  <c r="R702" i="1"/>
  <c r="Q702" i="1"/>
  <c r="U695" i="1"/>
  <c r="T695" i="1"/>
  <c r="S695" i="1"/>
  <c r="R695" i="1"/>
  <c r="Q695" i="1"/>
  <c r="Q693" i="1"/>
  <c r="V692" i="1"/>
  <c r="U692" i="1"/>
  <c r="T692" i="1"/>
  <c r="S692" i="1"/>
  <c r="R692" i="1"/>
  <c r="Q692" i="1"/>
  <c r="R689" i="1"/>
  <c r="Q689" i="1"/>
  <c r="R688" i="1"/>
  <c r="Q688" i="1"/>
  <c r="R687" i="1"/>
  <c r="Q687" i="1"/>
  <c r="U686" i="1"/>
  <c r="T686" i="1"/>
  <c r="S686" i="1"/>
  <c r="R686" i="1"/>
  <c r="Q686" i="1"/>
  <c r="Q685" i="1"/>
  <c r="Y684" i="1"/>
  <c r="X684" i="1"/>
  <c r="W684" i="1"/>
  <c r="V684" i="1"/>
  <c r="U684" i="1"/>
  <c r="T684" i="1"/>
  <c r="S684" i="1"/>
  <c r="R684" i="1"/>
  <c r="Q684" i="1"/>
  <c r="W683" i="1"/>
  <c r="V683" i="1"/>
  <c r="U683" i="1"/>
  <c r="T683" i="1"/>
  <c r="S683" i="1"/>
  <c r="R683" i="1"/>
  <c r="Q683" i="1"/>
  <c r="R681" i="1"/>
  <c r="Q681" i="1"/>
  <c r="Q680" i="1"/>
  <c r="T679" i="1"/>
  <c r="S679" i="1"/>
  <c r="R679" i="1"/>
  <c r="Q679" i="1"/>
  <c r="AE678" i="1"/>
  <c r="AD678" i="1"/>
  <c r="AC678" i="1"/>
  <c r="AB678" i="1"/>
  <c r="AA678" i="1"/>
  <c r="Z678" i="1"/>
  <c r="Y678" i="1"/>
  <c r="X678" i="1"/>
  <c r="W678" i="1"/>
  <c r="V678" i="1"/>
  <c r="U678" i="1"/>
  <c r="T678" i="1"/>
  <c r="S678" i="1"/>
  <c r="R678" i="1"/>
  <c r="Q678" i="1"/>
  <c r="R677" i="1"/>
  <c r="Q677" i="1"/>
  <c r="R675" i="1"/>
  <c r="Q675" i="1"/>
  <c r="T673" i="1"/>
  <c r="S673" i="1"/>
  <c r="R673" i="1"/>
  <c r="Q673" i="1"/>
  <c r="Q672" i="1"/>
  <c r="Q669" i="1"/>
  <c r="S667" i="1"/>
  <c r="R667" i="1"/>
  <c r="Q667" i="1"/>
  <c r="U666" i="1"/>
  <c r="T666" i="1"/>
  <c r="S666" i="1"/>
  <c r="R666" i="1"/>
  <c r="Q666" i="1"/>
  <c r="T665" i="1"/>
  <c r="S665" i="1"/>
  <c r="R665" i="1"/>
  <c r="Q665" i="1"/>
  <c r="Q663" i="1"/>
  <c r="V660" i="1"/>
  <c r="U660" i="1"/>
  <c r="T660" i="1"/>
  <c r="S660" i="1"/>
  <c r="R660" i="1"/>
  <c r="Q660" i="1"/>
  <c r="R659" i="1"/>
  <c r="Q659" i="1"/>
  <c r="Q657" i="1"/>
  <c r="T655" i="1"/>
  <c r="S655" i="1"/>
  <c r="R655" i="1"/>
  <c r="Q655" i="1"/>
  <c r="T654" i="1"/>
  <c r="S654" i="1"/>
  <c r="R654" i="1"/>
  <c r="Q654" i="1"/>
  <c r="R653" i="1"/>
  <c r="Q653" i="1"/>
  <c r="R652" i="1"/>
  <c r="Q652" i="1"/>
  <c r="W651" i="1"/>
  <c r="V651" i="1"/>
  <c r="U651" i="1"/>
  <c r="T651" i="1"/>
  <c r="S651" i="1"/>
  <c r="R651" i="1"/>
  <c r="Q651" i="1"/>
  <c r="Q648" i="1"/>
  <c r="Q646" i="1"/>
  <c r="S645" i="1"/>
  <c r="R645" i="1"/>
  <c r="Q645" i="1"/>
  <c r="T642" i="1"/>
  <c r="S642" i="1"/>
  <c r="R642" i="1"/>
  <c r="Q642" i="1"/>
  <c r="Q639" i="1"/>
  <c r="V637" i="1"/>
  <c r="U637" i="1"/>
  <c r="T637" i="1"/>
  <c r="S637" i="1"/>
  <c r="R637" i="1"/>
  <c r="Q637" i="1"/>
  <c r="S635" i="1"/>
  <c r="R635" i="1"/>
  <c r="Q635" i="1"/>
  <c r="S634" i="1"/>
  <c r="R634" i="1"/>
  <c r="Q634" i="1"/>
  <c r="Z631" i="1"/>
  <c r="Y631" i="1"/>
  <c r="X631" i="1"/>
  <c r="W631" i="1"/>
  <c r="V631" i="1"/>
  <c r="U631" i="1"/>
  <c r="T631" i="1"/>
  <c r="S631" i="1"/>
  <c r="R631" i="1"/>
  <c r="Q631" i="1"/>
  <c r="S630" i="1"/>
  <c r="R630" i="1"/>
  <c r="Q630" i="1"/>
  <c r="U629" i="1"/>
  <c r="T629" i="1"/>
  <c r="S629" i="1"/>
  <c r="R629" i="1"/>
  <c r="Q629" i="1"/>
  <c r="AE625" i="1"/>
  <c r="AD625" i="1"/>
  <c r="AC625" i="1"/>
  <c r="AB625" i="1"/>
  <c r="AA625" i="1"/>
  <c r="Z625" i="1"/>
  <c r="Y625" i="1"/>
  <c r="X625" i="1"/>
  <c r="W625" i="1"/>
  <c r="V625" i="1"/>
  <c r="U625" i="1"/>
  <c r="T625" i="1"/>
  <c r="S625" i="1"/>
  <c r="R625" i="1"/>
  <c r="Q625" i="1"/>
  <c r="T622" i="1"/>
  <c r="S622" i="1"/>
  <c r="R622" i="1"/>
  <c r="Q622" i="1"/>
  <c r="W621" i="1"/>
  <c r="V621" i="1"/>
  <c r="U621" i="1"/>
  <c r="T621" i="1"/>
  <c r="S621" i="1"/>
  <c r="R621" i="1"/>
  <c r="Q621" i="1"/>
  <c r="V619" i="1"/>
  <c r="U619" i="1"/>
  <c r="T619" i="1"/>
  <c r="S619" i="1"/>
  <c r="R619" i="1"/>
  <c r="Q619" i="1"/>
  <c r="S618" i="1"/>
  <c r="R618" i="1"/>
  <c r="Q618" i="1"/>
  <c r="X612" i="1"/>
  <c r="W612" i="1"/>
  <c r="V612" i="1"/>
  <c r="U612" i="1"/>
  <c r="T612" i="1"/>
  <c r="S612" i="1"/>
  <c r="R612" i="1"/>
  <c r="Q612" i="1"/>
  <c r="V611" i="1"/>
  <c r="U611" i="1"/>
  <c r="T611" i="1"/>
  <c r="S611" i="1"/>
  <c r="R611" i="1"/>
  <c r="Q611" i="1"/>
  <c r="X606" i="1"/>
  <c r="W606" i="1"/>
  <c r="V606" i="1"/>
  <c r="U606" i="1"/>
  <c r="T606" i="1"/>
  <c r="S606" i="1"/>
  <c r="R606" i="1"/>
  <c r="Q606" i="1"/>
  <c r="T605" i="1"/>
  <c r="S605" i="1"/>
  <c r="R605" i="1"/>
  <c r="Q605" i="1"/>
  <c r="U603" i="1"/>
  <c r="T603" i="1"/>
  <c r="S603" i="1"/>
  <c r="R603" i="1"/>
  <c r="Q603" i="1"/>
  <c r="U602" i="1"/>
  <c r="T602" i="1"/>
  <c r="S602" i="1"/>
  <c r="R602" i="1"/>
  <c r="Q602" i="1"/>
  <c r="S600" i="1"/>
  <c r="R600" i="1"/>
  <c r="Q600" i="1"/>
  <c r="X599" i="1"/>
  <c r="W599" i="1"/>
  <c r="V599" i="1"/>
  <c r="U599" i="1"/>
  <c r="T599" i="1"/>
  <c r="S599" i="1"/>
  <c r="R599" i="1"/>
  <c r="Q599" i="1"/>
  <c r="S598" i="1"/>
  <c r="R598" i="1"/>
  <c r="Q598" i="1"/>
  <c r="S597" i="1"/>
  <c r="R597" i="1"/>
  <c r="Q597" i="1"/>
  <c r="Z595" i="1"/>
  <c r="Y595" i="1"/>
  <c r="X595" i="1"/>
  <c r="W595" i="1"/>
  <c r="V595" i="1"/>
  <c r="U595" i="1"/>
  <c r="T595" i="1"/>
  <c r="S595" i="1"/>
  <c r="R595" i="1"/>
  <c r="Q595" i="1"/>
  <c r="W594" i="1"/>
  <c r="V594" i="1"/>
  <c r="U594" i="1"/>
  <c r="T594" i="1"/>
  <c r="S594" i="1"/>
  <c r="R594" i="1"/>
  <c r="Q594" i="1"/>
  <c r="U593" i="1"/>
  <c r="T593" i="1"/>
  <c r="S593" i="1"/>
  <c r="R593" i="1"/>
  <c r="Q593" i="1"/>
  <c r="Q591" i="1"/>
  <c r="AE590" i="1"/>
  <c r="AD590" i="1"/>
  <c r="AC590" i="1"/>
  <c r="AB590" i="1"/>
  <c r="AA590" i="1"/>
  <c r="Z590" i="1"/>
  <c r="Y590" i="1"/>
  <c r="X590" i="1"/>
  <c r="W590" i="1"/>
  <c r="V590" i="1"/>
  <c r="U590" i="1"/>
  <c r="T590" i="1"/>
  <c r="S590" i="1"/>
  <c r="R590" i="1"/>
  <c r="Q590" i="1"/>
  <c r="S589" i="1"/>
  <c r="R589" i="1"/>
  <c r="Q589" i="1"/>
  <c r="T588" i="1"/>
  <c r="S588" i="1"/>
  <c r="R588" i="1"/>
  <c r="Q588" i="1"/>
  <c r="T587" i="1"/>
  <c r="S587" i="1"/>
  <c r="R587" i="1"/>
  <c r="Q587" i="1"/>
  <c r="V586" i="1"/>
  <c r="U586" i="1"/>
  <c r="T586" i="1"/>
  <c r="S586" i="1"/>
  <c r="R586" i="1"/>
  <c r="Q586" i="1"/>
  <c r="S585" i="1"/>
  <c r="R585" i="1"/>
  <c r="Q585" i="1"/>
  <c r="U583" i="1"/>
  <c r="T583" i="1"/>
  <c r="S583" i="1"/>
  <c r="R583" i="1"/>
  <c r="Q583" i="1"/>
  <c r="V581" i="1"/>
  <c r="U581" i="1"/>
  <c r="T581" i="1"/>
  <c r="S581" i="1"/>
  <c r="R581" i="1"/>
  <c r="Q581" i="1"/>
  <c r="T580" i="1"/>
  <c r="S580" i="1"/>
  <c r="R580" i="1"/>
  <c r="Q580" i="1"/>
  <c r="Q579" i="1"/>
  <c r="T578" i="1"/>
  <c r="S578" i="1"/>
  <c r="R578" i="1"/>
  <c r="Q578" i="1"/>
  <c r="U576" i="1"/>
  <c r="T576" i="1"/>
  <c r="S576" i="1"/>
  <c r="R576" i="1"/>
  <c r="Q576" i="1"/>
  <c r="AG574" i="1"/>
  <c r="AF574" i="1"/>
  <c r="AE574" i="1"/>
  <c r="AD574" i="1"/>
  <c r="AC574" i="1"/>
  <c r="AB574" i="1"/>
  <c r="AA574" i="1"/>
  <c r="Z574" i="1"/>
  <c r="Y574" i="1"/>
  <c r="X574" i="1"/>
  <c r="W574" i="1"/>
  <c r="V574" i="1"/>
  <c r="U574" i="1"/>
  <c r="T574" i="1"/>
  <c r="S574" i="1"/>
  <c r="R574" i="1"/>
  <c r="Q574" i="1"/>
  <c r="S573" i="1"/>
  <c r="R573" i="1"/>
  <c r="Q573" i="1"/>
  <c r="R572" i="1"/>
  <c r="Q572" i="1"/>
  <c r="R571" i="1"/>
  <c r="Q571" i="1"/>
  <c r="Q567" i="1"/>
  <c r="W566" i="1"/>
  <c r="V566" i="1"/>
  <c r="U566" i="1"/>
  <c r="T566" i="1"/>
  <c r="S566" i="1"/>
  <c r="R566" i="1"/>
  <c r="Q566" i="1"/>
  <c r="T564" i="1"/>
  <c r="S564" i="1"/>
  <c r="R564" i="1"/>
  <c r="Q564" i="1"/>
  <c r="Q563" i="1"/>
  <c r="Q562" i="1"/>
  <c r="S560" i="1"/>
  <c r="R560" i="1"/>
  <c r="Q560" i="1"/>
  <c r="S559" i="1"/>
  <c r="R559" i="1"/>
  <c r="Q559" i="1"/>
  <c r="Q558" i="1"/>
  <c r="Q556" i="1"/>
  <c r="T553" i="1"/>
  <c r="S553" i="1"/>
  <c r="R553" i="1"/>
  <c r="Q553" i="1"/>
  <c r="R552" i="1"/>
  <c r="Q552" i="1"/>
  <c r="Q551" i="1"/>
  <c r="R549" i="1"/>
  <c r="Q549" i="1"/>
  <c r="R547" i="1"/>
  <c r="Q547" i="1"/>
  <c r="V546" i="1"/>
  <c r="U546" i="1"/>
  <c r="T546" i="1"/>
  <c r="S546" i="1"/>
  <c r="R546" i="1"/>
  <c r="Q546" i="1"/>
  <c r="R543" i="1"/>
  <c r="Q543" i="1"/>
  <c r="Q541" i="1"/>
  <c r="Q539" i="1"/>
  <c r="X538" i="1"/>
  <c r="W538" i="1"/>
  <c r="V538" i="1"/>
  <c r="U538" i="1"/>
  <c r="T538" i="1"/>
  <c r="S538" i="1"/>
  <c r="R538" i="1"/>
  <c r="Q538" i="1"/>
  <c r="V537" i="1"/>
  <c r="U537" i="1"/>
  <c r="T537" i="1"/>
  <c r="S537" i="1"/>
  <c r="R537" i="1"/>
  <c r="Q537" i="1"/>
  <c r="S529" i="1"/>
  <c r="R529" i="1"/>
  <c r="Q529" i="1"/>
  <c r="V528" i="1"/>
  <c r="U528" i="1"/>
  <c r="T528" i="1"/>
  <c r="S528" i="1"/>
  <c r="R528" i="1"/>
  <c r="Q528" i="1"/>
  <c r="S525" i="1"/>
  <c r="R525" i="1"/>
  <c r="Q525" i="1"/>
  <c r="Q523" i="1"/>
  <c r="V521" i="1"/>
  <c r="U521" i="1"/>
  <c r="T521" i="1"/>
  <c r="S521" i="1"/>
  <c r="R521" i="1"/>
  <c r="Q521" i="1"/>
  <c r="V520" i="1"/>
  <c r="U520" i="1"/>
  <c r="T520" i="1"/>
  <c r="S520" i="1"/>
  <c r="R520" i="1"/>
  <c r="Q520" i="1"/>
  <c r="R519" i="1"/>
  <c r="Q519" i="1"/>
  <c r="W518" i="1"/>
  <c r="V518" i="1"/>
  <c r="U518" i="1"/>
  <c r="T518" i="1"/>
  <c r="S518" i="1"/>
  <c r="R518" i="1"/>
  <c r="Q518" i="1"/>
  <c r="T517" i="1"/>
  <c r="S517" i="1"/>
  <c r="R517" i="1"/>
  <c r="Q517" i="1"/>
  <c r="X515" i="1"/>
  <c r="W515" i="1"/>
  <c r="V515" i="1"/>
  <c r="U515" i="1"/>
  <c r="T515" i="1"/>
  <c r="S515" i="1"/>
  <c r="R515" i="1"/>
  <c r="Q515" i="1"/>
  <c r="AE514" i="1"/>
  <c r="AD514" i="1"/>
  <c r="AC514" i="1"/>
  <c r="AB514" i="1"/>
  <c r="AA514" i="1"/>
  <c r="Z514" i="1"/>
  <c r="Y514" i="1"/>
  <c r="X514" i="1"/>
  <c r="W514" i="1"/>
  <c r="V514" i="1"/>
  <c r="U514" i="1"/>
  <c r="T514" i="1"/>
  <c r="S514" i="1"/>
  <c r="R514" i="1"/>
  <c r="Q514" i="1"/>
  <c r="R512" i="1"/>
  <c r="Q512" i="1"/>
  <c r="Q511" i="1"/>
  <c r="V510" i="1"/>
  <c r="U510" i="1"/>
  <c r="T510" i="1"/>
  <c r="S510" i="1"/>
  <c r="R510" i="1"/>
  <c r="Q510" i="1"/>
  <c r="V509" i="1"/>
  <c r="U509" i="1"/>
  <c r="T509" i="1"/>
  <c r="S509" i="1"/>
  <c r="R509" i="1"/>
  <c r="Q509" i="1"/>
  <c r="V508" i="1"/>
  <c r="U508" i="1"/>
  <c r="T508" i="1"/>
  <c r="S508" i="1"/>
  <c r="R508" i="1"/>
  <c r="Q508" i="1"/>
  <c r="R507" i="1"/>
  <c r="Q507" i="1"/>
  <c r="R506" i="1"/>
  <c r="Q506" i="1"/>
  <c r="T505" i="1"/>
  <c r="S505" i="1"/>
  <c r="R505" i="1"/>
  <c r="Q505" i="1"/>
  <c r="T503" i="1"/>
  <c r="S503" i="1"/>
  <c r="R503" i="1"/>
  <c r="Q503" i="1"/>
  <c r="S502" i="1"/>
  <c r="R502" i="1"/>
  <c r="Q502" i="1"/>
  <c r="S499" i="1"/>
  <c r="R499" i="1"/>
  <c r="Q499" i="1"/>
  <c r="W498" i="1"/>
  <c r="V498" i="1"/>
  <c r="U498" i="1"/>
  <c r="T498" i="1"/>
  <c r="S498" i="1"/>
  <c r="R498" i="1"/>
  <c r="Q498" i="1"/>
  <c r="Q497" i="1"/>
  <c r="Q496" i="1"/>
  <c r="V495" i="1"/>
  <c r="U495" i="1"/>
  <c r="T495" i="1"/>
  <c r="S495" i="1"/>
  <c r="R495" i="1"/>
  <c r="Q495" i="1"/>
  <c r="S494" i="1"/>
  <c r="R494" i="1"/>
  <c r="Q494" i="1"/>
  <c r="Z493" i="1"/>
  <c r="Y493" i="1"/>
  <c r="X493" i="1"/>
  <c r="W493" i="1"/>
  <c r="V493" i="1"/>
  <c r="U493" i="1"/>
  <c r="T493" i="1"/>
  <c r="S493" i="1"/>
  <c r="R493" i="1"/>
  <c r="Q493" i="1"/>
  <c r="U490" i="1"/>
  <c r="T490" i="1"/>
  <c r="S490" i="1"/>
  <c r="R490" i="1"/>
  <c r="Q490" i="1"/>
  <c r="U489" i="1"/>
  <c r="T489" i="1"/>
  <c r="S489" i="1"/>
  <c r="R489" i="1"/>
  <c r="Q489" i="1"/>
  <c r="Q488" i="1"/>
  <c r="R487" i="1"/>
  <c r="Q487" i="1"/>
  <c r="Q485" i="1"/>
  <c r="U484" i="1"/>
  <c r="T484" i="1"/>
  <c r="S484" i="1"/>
  <c r="R484" i="1"/>
  <c r="Q484" i="1"/>
  <c r="Q483" i="1"/>
  <c r="W480" i="1"/>
  <c r="V480" i="1"/>
  <c r="U480" i="1"/>
  <c r="T480" i="1"/>
  <c r="S480" i="1"/>
  <c r="R480" i="1"/>
  <c r="Q480" i="1"/>
  <c r="AE479" i="1"/>
  <c r="AD479" i="1"/>
  <c r="AC479" i="1"/>
  <c r="AB479" i="1"/>
  <c r="AA479" i="1"/>
  <c r="Z479" i="1"/>
  <c r="Y479" i="1"/>
  <c r="X479" i="1"/>
  <c r="W479" i="1"/>
  <c r="V479" i="1"/>
  <c r="U479" i="1"/>
  <c r="T479" i="1"/>
  <c r="S479" i="1"/>
  <c r="R479" i="1"/>
  <c r="Q479" i="1"/>
  <c r="Q477" i="1"/>
  <c r="Q475" i="1"/>
  <c r="S474" i="1"/>
  <c r="R474" i="1"/>
  <c r="Q474" i="1"/>
  <c r="Q472" i="1"/>
  <c r="Q470" i="1"/>
  <c r="S469" i="1"/>
  <c r="R469" i="1"/>
  <c r="Q469" i="1"/>
  <c r="V465" i="1"/>
  <c r="U465" i="1"/>
  <c r="T465" i="1"/>
  <c r="S465" i="1"/>
  <c r="R465" i="1"/>
  <c r="Q465" i="1"/>
  <c r="Q463" i="1"/>
  <c r="X462" i="1"/>
  <c r="W462" i="1"/>
  <c r="V462" i="1"/>
  <c r="U462" i="1"/>
  <c r="T462" i="1"/>
  <c r="S462" i="1"/>
  <c r="R462" i="1"/>
  <c r="Q462" i="1"/>
  <c r="Q460" i="1"/>
  <c r="S459" i="1"/>
  <c r="R459" i="1"/>
  <c r="Q459" i="1"/>
  <c r="Z457" i="1"/>
  <c r="Y457" i="1"/>
  <c r="X457" i="1"/>
  <c r="W457" i="1"/>
  <c r="V457" i="1"/>
  <c r="U457" i="1"/>
  <c r="T457" i="1"/>
  <c r="S457" i="1"/>
  <c r="R457" i="1"/>
  <c r="Q457" i="1"/>
  <c r="V456" i="1"/>
  <c r="U456" i="1"/>
  <c r="T456" i="1"/>
  <c r="S456" i="1"/>
  <c r="R456" i="1"/>
  <c r="Q456" i="1"/>
  <c r="W455" i="1"/>
  <c r="V455" i="1"/>
  <c r="U455" i="1"/>
  <c r="T455" i="1"/>
  <c r="S455" i="1"/>
  <c r="R455" i="1"/>
  <c r="Q455" i="1"/>
  <c r="Z454" i="1"/>
  <c r="Y454" i="1"/>
  <c r="X454" i="1"/>
  <c r="W454" i="1"/>
  <c r="V454" i="1"/>
  <c r="U454" i="1"/>
  <c r="T454" i="1"/>
  <c r="S454" i="1"/>
  <c r="R454" i="1"/>
  <c r="Q454" i="1"/>
  <c r="R453" i="1"/>
  <c r="Q453" i="1"/>
  <c r="R452" i="1"/>
  <c r="Q452" i="1"/>
  <c r="V450" i="1"/>
  <c r="U450" i="1"/>
  <c r="T450" i="1"/>
  <c r="S450" i="1"/>
  <c r="R450" i="1"/>
  <c r="Q450" i="1"/>
  <c r="R448" i="1"/>
  <c r="Q448" i="1"/>
  <c r="S447" i="1"/>
  <c r="R447" i="1"/>
  <c r="Q447" i="1"/>
  <c r="T444" i="1"/>
  <c r="S444" i="1"/>
  <c r="R444" i="1"/>
  <c r="Q444" i="1"/>
  <c r="V443" i="1"/>
  <c r="U443" i="1"/>
  <c r="T443" i="1"/>
  <c r="S443" i="1"/>
  <c r="R443" i="1"/>
  <c r="Q443" i="1"/>
  <c r="V442" i="1"/>
  <c r="U442" i="1"/>
  <c r="T442" i="1"/>
  <c r="S442" i="1"/>
  <c r="R442" i="1"/>
  <c r="Q442" i="1"/>
  <c r="U441" i="1"/>
  <c r="T441" i="1"/>
  <c r="S441" i="1"/>
  <c r="R441" i="1"/>
  <c r="Q441" i="1"/>
  <c r="R440" i="1"/>
  <c r="Q440" i="1"/>
  <c r="AE437" i="1"/>
  <c r="AD437" i="1"/>
  <c r="AC437" i="1"/>
  <c r="AB437" i="1"/>
  <c r="AA437" i="1"/>
  <c r="Z437" i="1"/>
  <c r="Y437" i="1"/>
  <c r="X437" i="1"/>
  <c r="W437" i="1"/>
  <c r="V437" i="1"/>
  <c r="U437" i="1"/>
  <c r="T437" i="1"/>
  <c r="S437" i="1"/>
  <c r="R437" i="1"/>
  <c r="Q437" i="1"/>
  <c r="Q436" i="1"/>
  <c r="AE434" i="1"/>
  <c r="AD434" i="1"/>
  <c r="AC434" i="1"/>
  <c r="AB434" i="1"/>
  <c r="AA434" i="1"/>
  <c r="Z434" i="1"/>
  <c r="Y434" i="1"/>
  <c r="X434" i="1"/>
  <c r="W434" i="1"/>
  <c r="V434" i="1"/>
  <c r="U434" i="1"/>
  <c r="T434" i="1"/>
  <c r="S434" i="1"/>
  <c r="R434" i="1"/>
  <c r="Q434" i="1"/>
  <c r="V433" i="1"/>
  <c r="U433" i="1"/>
  <c r="T433" i="1"/>
  <c r="S433" i="1"/>
  <c r="R433" i="1"/>
  <c r="Q433" i="1"/>
  <c r="S432" i="1"/>
  <c r="R432" i="1"/>
  <c r="Q432" i="1"/>
  <c r="Q431" i="1"/>
  <c r="S429" i="1"/>
  <c r="R429" i="1"/>
  <c r="Q429" i="1"/>
  <c r="U428" i="1"/>
  <c r="T428" i="1"/>
  <c r="S428" i="1"/>
  <c r="R428" i="1"/>
  <c r="Q428" i="1"/>
  <c r="S427" i="1"/>
  <c r="R427" i="1"/>
  <c r="Q427" i="1"/>
  <c r="R426" i="1"/>
  <c r="Q426" i="1"/>
  <c r="V425" i="1"/>
  <c r="U425" i="1"/>
  <c r="T425" i="1"/>
  <c r="S425" i="1"/>
  <c r="R425" i="1"/>
  <c r="Q425" i="1"/>
  <c r="W424" i="1"/>
  <c r="V424" i="1"/>
  <c r="U424" i="1"/>
  <c r="T424" i="1"/>
  <c r="S424" i="1"/>
  <c r="R424" i="1"/>
  <c r="Q424" i="1"/>
  <c r="U423" i="1"/>
  <c r="T423" i="1"/>
  <c r="S423" i="1"/>
  <c r="R423" i="1"/>
  <c r="Q423" i="1"/>
  <c r="Q422" i="1"/>
  <c r="Q421" i="1"/>
  <c r="Q420" i="1"/>
  <c r="V417" i="1"/>
  <c r="U417" i="1"/>
  <c r="T417" i="1"/>
  <c r="S417" i="1"/>
  <c r="R417" i="1"/>
  <c r="Q417" i="1"/>
  <c r="U416" i="1"/>
  <c r="T416" i="1"/>
  <c r="S416" i="1"/>
  <c r="R416" i="1"/>
  <c r="Q416" i="1"/>
  <c r="Z415" i="1"/>
  <c r="Y415" i="1"/>
  <c r="X415" i="1"/>
  <c r="W415" i="1"/>
  <c r="V415" i="1"/>
  <c r="U415" i="1"/>
  <c r="T415" i="1"/>
  <c r="S415" i="1"/>
  <c r="R415" i="1"/>
  <c r="Q415" i="1"/>
  <c r="R414" i="1"/>
  <c r="Q414" i="1"/>
  <c r="T412" i="1"/>
  <c r="S412" i="1"/>
  <c r="R412" i="1"/>
  <c r="Q412" i="1"/>
  <c r="X408" i="1"/>
  <c r="W408" i="1"/>
  <c r="V408" i="1"/>
  <c r="U408" i="1"/>
  <c r="T408" i="1"/>
  <c r="S408" i="1"/>
  <c r="R408" i="1"/>
  <c r="Q408" i="1"/>
  <c r="U407" i="1"/>
  <c r="T407" i="1"/>
  <c r="S407" i="1"/>
  <c r="R407" i="1"/>
  <c r="Q407" i="1"/>
  <c r="R406" i="1"/>
  <c r="Q406" i="1"/>
  <c r="Q405" i="1"/>
  <c r="U404" i="1"/>
  <c r="T404" i="1"/>
  <c r="S404" i="1"/>
  <c r="R404" i="1"/>
  <c r="Q404" i="1"/>
  <c r="Q401" i="1"/>
  <c r="S400" i="1"/>
  <c r="R400" i="1"/>
  <c r="Q400" i="1"/>
  <c r="Q397" i="1"/>
  <c r="V396" i="1"/>
  <c r="U396" i="1"/>
  <c r="T396" i="1"/>
  <c r="S396" i="1"/>
  <c r="R396" i="1"/>
  <c r="Q396" i="1"/>
  <c r="Q395" i="1"/>
  <c r="W394" i="1"/>
  <c r="V394" i="1"/>
  <c r="U394" i="1"/>
  <c r="T394" i="1"/>
  <c r="S394" i="1"/>
  <c r="R394" i="1"/>
  <c r="Q394" i="1"/>
  <c r="AE392" i="1"/>
  <c r="AD392" i="1"/>
  <c r="AC392" i="1"/>
  <c r="AB392" i="1"/>
  <c r="AA392" i="1"/>
  <c r="Z392" i="1"/>
  <c r="Y392" i="1"/>
  <c r="X392" i="1"/>
  <c r="W392" i="1"/>
  <c r="V392" i="1"/>
  <c r="U392" i="1"/>
  <c r="T392" i="1"/>
  <c r="S392" i="1"/>
  <c r="R392" i="1"/>
  <c r="Q392" i="1"/>
  <c r="R391" i="1"/>
  <c r="Q391" i="1"/>
  <c r="T390" i="1"/>
  <c r="S390" i="1"/>
  <c r="R390" i="1"/>
  <c r="Q390" i="1"/>
  <c r="Q388" i="1"/>
  <c r="Q387" i="1"/>
  <c r="Q386" i="1"/>
  <c r="S385" i="1"/>
  <c r="R385" i="1"/>
  <c r="Q385" i="1"/>
  <c r="S384" i="1"/>
  <c r="R384" i="1"/>
  <c r="Q384" i="1"/>
  <c r="V383" i="1"/>
  <c r="U383" i="1"/>
  <c r="T383" i="1"/>
  <c r="S383" i="1"/>
  <c r="R383" i="1"/>
  <c r="Q383" i="1"/>
  <c r="V382" i="1"/>
  <c r="U382" i="1"/>
  <c r="T382" i="1"/>
  <c r="S382" i="1"/>
  <c r="R382" i="1"/>
  <c r="Q382" i="1"/>
  <c r="V380" i="1"/>
  <c r="U380" i="1"/>
  <c r="T380" i="1"/>
  <c r="S380" i="1"/>
  <c r="R380" i="1"/>
  <c r="Q380" i="1"/>
  <c r="R379" i="1"/>
  <c r="Q379" i="1"/>
  <c r="S376" i="1"/>
  <c r="R376" i="1"/>
  <c r="Q376" i="1"/>
  <c r="Q374" i="1"/>
  <c r="Q372" i="1"/>
  <c r="X371" i="1"/>
  <c r="W371" i="1"/>
  <c r="V371" i="1"/>
  <c r="U371" i="1"/>
  <c r="T371" i="1"/>
  <c r="S371" i="1"/>
  <c r="R371" i="1"/>
  <c r="Q371" i="1"/>
  <c r="V369" i="1"/>
  <c r="U369" i="1"/>
  <c r="T369" i="1"/>
  <c r="S369" i="1"/>
  <c r="R369" i="1"/>
  <c r="Q369" i="1"/>
  <c r="Q368" i="1"/>
  <c r="R367" i="1"/>
  <c r="Q367" i="1"/>
  <c r="Z366" i="1"/>
  <c r="Y366" i="1"/>
  <c r="X366" i="1"/>
  <c r="W366" i="1"/>
  <c r="V366" i="1"/>
  <c r="U366" i="1"/>
  <c r="T366" i="1"/>
  <c r="S366" i="1"/>
  <c r="R366" i="1"/>
  <c r="Q366" i="1"/>
  <c r="Z365" i="1"/>
  <c r="Y365" i="1"/>
  <c r="X365" i="1"/>
  <c r="W365" i="1"/>
  <c r="V365" i="1"/>
  <c r="U365" i="1"/>
  <c r="T365" i="1"/>
  <c r="S365" i="1"/>
  <c r="R365" i="1"/>
  <c r="Q365" i="1"/>
  <c r="Q362" i="1"/>
  <c r="S361" i="1"/>
  <c r="R361" i="1"/>
  <c r="Q361" i="1"/>
  <c r="Q358" i="1"/>
  <c r="R356" i="1"/>
  <c r="Q356" i="1"/>
  <c r="T354" i="1"/>
  <c r="S354" i="1"/>
  <c r="R354" i="1"/>
  <c r="Q354" i="1"/>
  <c r="V352" i="1"/>
  <c r="U352" i="1"/>
  <c r="T352" i="1"/>
  <c r="S352" i="1"/>
  <c r="R352" i="1"/>
  <c r="Q352" i="1"/>
  <c r="AE351" i="1"/>
  <c r="AD351" i="1"/>
  <c r="AC351" i="1"/>
  <c r="AB351" i="1"/>
  <c r="AA351" i="1"/>
  <c r="Z351" i="1"/>
  <c r="Y351" i="1"/>
  <c r="X351" i="1"/>
  <c r="W351" i="1"/>
  <c r="V351" i="1"/>
  <c r="U351" i="1"/>
  <c r="T351" i="1"/>
  <c r="S351" i="1"/>
  <c r="R351" i="1"/>
  <c r="Q351" i="1"/>
  <c r="S350" i="1"/>
  <c r="R350" i="1"/>
  <c r="Q350" i="1"/>
  <c r="V349" i="1"/>
  <c r="U349" i="1"/>
  <c r="T349" i="1"/>
  <c r="S349" i="1"/>
  <c r="R349" i="1"/>
  <c r="Q349" i="1"/>
  <c r="R347" i="1"/>
  <c r="Q347" i="1"/>
  <c r="T345" i="1"/>
  <c r="S345" i="1"/>
  <c r="R345" i="1"/>
  <c r="Q345" i="1"/>
  <c r="Y344" i="1"/>
  <c r="X344" i="1"/>
  <c r="W344" i="1"/>
  <c r="V344" i="1"/>
  <c r="U344" i="1"/>
  <c r="T344" i="1"/>
  <c r="S344" i="1"/>
  <c r="R344" i="1"/>
  <c r="Q344" i="1"/>
  <c r="R341" i="1"/>
  <c r="Q341" i="1"/>
  <c r="V340" i="1"/>
  <c r="U340" i="1"/>
  <c r="T340" i="1"/>
  <c r="S340" i="1"/>
  <c r="R340" i="1"/>
  <c r="Q340" i="1"/>
  <c r="R339" i="1"/>
  <c r="Q339" i="1"/>
  <c r="Q338" i="1"/>
  <c r="U335" i="1"/>
  <c r="T335" i="1"/>
  <c r="S335" i="1"/>
  <c r="R335" i="1"/>
  <c r="Q335" i="1"/>
  <c r="V333" i="1"/>
  <c r="U333" i="1"/>
  <c r="T333" i="1"/>
  <c r="S333" i="1"/>
  <c r="R333" i="1"/>
  <c r="Q333" i="1"/>
  <c r="R332" i="1"/>
  <c r="Q332" i="1"/>
  <c r="U331" i="1"/>
  <c r="T331" i="1"/>
  <c r="S331" i="1"/>
  <c r="R331" i="1"/>
  <c r="Q331" i="1"/>
  <c r="W330" i="1"/>
  <c r="V330" i="1"/>
  <c r="U330" i="1"/>
  <c r="T330" i="1"/>
  <c r="S330" i="1"/>
  <c r="R330" i="1"/>
  <c r="Q330" i="1"/>
  <c r="Q329" i="1"/>
  <c r="S328" i="1"/>
  <c r="R328" i="1"/>
  <c r="Q328" i="1"/>
  <c r="V327" i="1"/>
  <c r="U327" i="1"/>
  <c r="T327" i="1"/>
  <c r="S327" i="1"/>
  <c r="R327" i="1"/>
  <c r="Q327" i="1"/>
  <c r="Q325" i="1"/>
  <c r="R324" i="1"/>
  <c r="Q324" i="1"/>
  <c r="V323" i="1"/>
  <c r="U323" i="1"/>
  <c r="T323" i="1"/>
  <c r="S323" i="1"/>
  <c r="R323" i="1"/>
  <c r="Q323" i="1"/>
  <c r="Q322" i="1"/>
  <c r="R321" i="1"/>
  <c r="Q321" i="1"/>
  <c r="S320" i="1"/>
  <c r="R320" i="1"/>
  <c r="Q320" i="1"/>
  <c r="Q319" i="1"/>
  <c r="Q318" i="1"/>
  <c r="T316" i="1"/>
  <c r="S316" i="1"/>
  <c r="R316" i="1"/>
  <c r="Q316" i="1"/>
  <c r="Q315" i="1"/>
  <c r="T312" i="1"/>
  <c r="S312" i="1"/>
  <c r="R312" i="1"/>
  <c r="Q312" i="1"/>
  <c r="X311" i="1"/>
  <c r="W311" i="1"/>
  <c r="V311" i="1"/>
  <c r="U311" i="1"/>
  <c r="T311" i="1"/>
  <c r="S311" i="1"/>
  <c r="R311" i="1"/>
  <c r="Q311" i="1"/>
  <c r="R310" i="1"/>
  <c r="Q310" i="1"/>
  <c r="R309" i="1"/>
  <c r="Q309" i="1"/>
  <c r="Q308" i="1"/>
  <c r="Q307" i="1"/>
  <c r="Q306" i="1"/>
  <c r="U305" i="1"/>
  <c r="T305" i="1"/>
  <c r="S305" i="1"/>
  <c r="R305" i="1"/>
  <c r="Q305" i="1"/>
  <c r="V302" i="1"/>
  <c r="U302" i="1"/>
  <c r="T302" i="1"/>
  <c r="S302" i="1"/>
  <c r="R302" i="1"/>
  <c r="Q302" i="1"/>
  <c r="Q300" i="1"/>
  <c r="X298" i="1"/>
  <c r="W298" i="1"/>
  <c r="V298" i="1"/>
  <c r="U298" i="1"/>
  <c r="T298" i="1"/>
  <c r="S298" i="1"/>
  <c r="R298" i="1"/>
  <c r="Q298" i="1"/>
  <c r="S297" i="1"/>
  <c r="R297" i="1"/>
  <c r="Q297" i="1"/>
  <c r="V296" i="1"/>
  <c r="U296" i="1"/>
  <c r="T296" i="1"/>
  <c r="S296" i="1"/>
  <c r="R296" i="1"/>
  <c r="Q296" i="1"/>
  <c r="R295" i="1"/>
  <c r="Q295" i="1"/>
  <c r="Q293" i="1"/>
  <c r="T292" i="1"/>
  <c r="S292" i="1"/>
  <c r="R292" i="1"/>
  <c r="Q292" i="1"/>
  <c r="R291" i="1"/>
  <c r="Q291" i="1"/>
  <c r="S290" i="1"/>
  <c r="R290" i="1"/>
  <c r="Q290" i="1"/>
  <c r="T288" i="1"/>
  <c r="S288" i="1"/>
  <c r="R288" i="1"/>
  <c r="Q288" i="1"/>
  <c r="Q287" i="1"/>
  <c r="S286" i="1"/>
  <c r="R286" i="1"/>
  <c r="Q286" i="1"/>
  <c r="S285" i="1"/>
  <c r="R285" i="1"/>
  <c r="Q285" i="1"/>
  <c r="Q284" i="1"/>
  <c r="Z283" i="1"/>
  <c r="Y283" i="1"/>
  <c r="X283" i="1"/>
  <c r="W283" i="1"/>
  <c r="V283" i="1"/>
  <c r="U283" i="1"/>
  <c r="T283" i="1"/>
  <c r="S283" i="1"/>
  <c r="R283" i="1"/>
  <c r="Q283" i="1"/>
  <c r="U282" i="1"/>
  <c r="T282" i="1"/>
  <c r="S282" i="1"/>
  <c r="R282" i="1"/>
  <c r="Q282" i="1"/>
  <c r="Q281" i="1"/>
  <c r="Z280" i="1"/>
  <c r="Y280" i="1"/>
  <c r="X280" i="1"/>
  <c r="W280" i="1"/>
  <c r="V280" i="1"/>
  <c r="U280" i="1"/>
  <c r="T280" i="1"/>
  <c r="S280" i="1"/>
  <c r="R280" i="1"/>
  <c r="Q280" i="1"/>
  <c r="U279" i="1"/>
  <c r="T279" i="1"/>
  <c r="S279" i="1"/>
  <c r="R279" i="1"/>
  <c r="Q279" i="1"/>
  <c r="R278" i="1"/>
  <c r="Q278" i="1"/>
  <c r="X276" i="1"/>
  <c r="W276" i="1"/>
  <c r="V276" i="1"/>
  <c r="U276" i="1"/>
  <c r="T276" i="1"/>
  <c r="S276" i="1"/>
  <c r="R276" i="1"/>
  <c r="Q276" i="1"/>
  <c r="AD275" i="1"/>
  <c r="AC275" i="1"/>
  <c r="AB275" i="1"/>
  <c r="AA275" i="1"/>
  <c r="Z275" i="1"/>
  <c r="Y275" i="1"/>
  <c r="X275" i="1"/>
  <c r="W275" i="1"/>
  <c r="V275" i="1"/>
  <c r="U275" i="1"/>
  <c r="T275" i="1"/>
  <c r="S275" i="1"/>
  <c r="R275" i="1"/>
  <c r="Q275" i="1"/>
  <c r="S274" i="1"/>
  <c r="R274" i="1"/>
  <c r="Q274" i="1"/>
  <c r="T273" i="1"/>
  <c r="S273" i="1"/>
  <c r="R273" i="1"/>
  <c r="Q273" i="1"/>
  <c r="Q272" i="1"/>
  <c r="Q266" i="1"/>
  <c r="Q265" i="1"/>
  <c r="R264" i="1"/>
  <c r="Q264" i="1"/>
  <c r="W259" i="1"/>
  <c r="V259" i="1"/>
  <c r="U259" i="1"/>
  <c r="T259" i="1"/>
  <c r="S259" i="1"/>
  <c r="R259" i="1"/>
  <c r="Q259" i="1"/>
  <c r="Q258" i="1"/>
  <c r="AE257" i="1"/>
  <c r="AD257" i="1"/>
  <c r="AC257" i="1"/>
  <c r="AB257" i="1"/>
  <c r="AA257" i="1"/>
  <c r="Z257" i="1"/>
  <c r="Y257" i="1"/>
  <c r="X257" i="1"/>
  <c r="W257" i="1"/>
  <c r="V257" i="1"/>
  <c r="U257" i="1"/>
  <c r="T257" i="1"/>
  <c r="S257" i="1"/>
  <c r="R257" i="1"/>
  <c r="Q257" i="1"/>
  <c r="Q256" i="1"/>
  <c r="Q252" i="1"/>
  <c r="Q251" i="1"/>
  <c r="V250" i="1"/>
  <c r="U250" i="1"/>
  <c r="T250" i="1"/>
  <c r="S250" i="1"/>
  <c r="R250" i="1"/>
  <c r="Q250" i="1"/>
  <c r="Q248" i="1"/>
  <c r="U246" i="1"/>
  <c r="T246" i="1"/>
  <c r="S246" i="1"/>
  <c r="R246" i="1"/>
  <c r="Q246" i="1"/>
  <c r="S245" i="1"/>
  <c r="R245" i="1"/>
  <c r="Q245" i="1"/>
  <c r="R244" i="1"/>
  <c r="Q244" i="1"/>
  <c r="T242" i="1"/>
  <c r="S242" i="1"/>
  <c r="R242" i="1"/>
  <c r="Q242" i="1"/>
  <c r="Z241" i="1"/>
  <c r="Y241" i="1"/>
  <c r="X241" i="1"/>
  <c r="W241" i="1"/>
  <c r="V241" i="1"/>
  <c r="U241" i="1"/>
  <c r="T241" i="1"/>
  <c r="S241" i="1"/>
  <c r="R241" i="1"/>
  <c r="Q241" i="1"/>
  <c r="Q240" i="1"/>
  <c r="Q239" i="1"/>
  <c r="Q238" i="1"/>
  <c r="R237" i="1"/>
  <c r="Q237" i="1"/>
  <c r="W235" i="1"/>
  <c r="V235" i="1"/>
  <c r="U235" i="1"/>
  <c r="T235" i="1"/>
  <c r="S235" i="1"/>
  <c r="R235" i="1"/>
  <c r="Q235" i="1"/>
  <c r="Q232" i="1"/>
  <c r="W231" i="1"/>
  <c r="V231" i="1"/>
  <c r="U231" i="1"/>
  <c r="T231" i="1"/>
  <c r="S231" i="1"/>
  <c r="R231" i="1"/>
  <c r="Q231" i="1"/>
  <c r="S229" i="1"/>
  <c r="R229" i="1"/>
  <c r="Q229" i="1"/>
  <c r="Q228" i="1"/>
  <c r="T227" i="1"/>
  <c r="S227" i="1"/>
  <c r="R227" i="1"/>
  <c r="Q227" i="1"/>
  <c r="Z225" i="1"/>
  <c r="Y225" i="1"/>
  <c r="X225" i="1"/>
  <c r="W225" i="1"/>
  <c r="V225" i="1"/>
  <c r="U225" i="1"/>
  <c r="T225" i="1"/>
  <c r="S225" i="1"/>
  <c r="R225" i="1"/>
  <c r="Q225" i="1"/>
  <c r="U224" i="1"/>
  <c r="T224" i="1"/>
  <c r="S224" i="1"/>
  <c r="R224" i="1"/>
  <c r="Q224" i="1"/>
  <c r="T223" i="1"/>
  <c r="S223" i="1"/>
  <c r="R223" i="1"/>
  <c r="Q223" i="1"/>
  <c r="Q222" i="1"/>
  <c r="S221" i="1"/>
  <c r="R221" i="1"/>
  <c r="Q221" i="1"/>
  <c r="S219" i="1"/>
  <c r="R219" i="1"/>
  <c r="Q219" i="1"/>
  <c r="Q217" i="1"/>
  <c r="W214" i="1"/>
  <c r="V214" i="1"/>
  <c r="U214" i="1"/>
  <c r="T214" i="1"/>
  <c r="S214" i="1"/>
  <c r="R214" i="1"/>
  <c r="Q214" i="1"/>
  <c r="Q213" i="1"/>
  <c r="U211" i="1"/>
  <c r="T211" i="1"/>
  <c r="S211" i="1"/>
  <c r="R211" i="1"/>
  <c r="Q211" i="1"/>
  <c r="W208" i="1"/>
  <c r="V208" i="1"/>
  <c r="U208" i="1"/>
  <c r="T208" i="1"/>
  <c r="S208" i="1"/>
  <c r="R208" i="1"/>
  <c r="Q208" i="1"/>
  <c r="AB207" i="1"/>
  <c r="AA207" i="1"/>
  <c r="Z207" i="1"/>
  <c r="Y207" i="1"/>
  <c r="X207" i="1"/>
  <c r="W207" i="1"/>
  <c r="V207" i="1"/>
  <c r="U207" i="1"/>
  <c r="T207" i="1"/>
  <c r="S207" i="1"/>
  <c r="R207" i="1"/>
  <c r="Q207" i="1"/>
  <c r="V206" i="1"/>
  <c r="U206" i="1"/>
  <c r="T206" i="1"/>
  <c r="S206" i="1"/>
  <c r="R206" i="1"/>
  <c r="Q206" i="1"/>
  <c r="V205" i="1"/>
  <c r="U205" i="1"/>
  <c r="T205" i="1"/>
  <c r="S205" i="1"/>
  <c r="R205" i="1"/>
  <c r="Q205" i="1"/>
  <c r="V204" i="1"/>
  <c r="U204" i="1"/>
  <c r="T204" i="1"/>
  <c r="S204" i="1"/>
  <c r="R204" i="1"/>
  <c r="Q204" i="1"/>
  <c r="S203" i="1"/>
  <c r="R203" i="1"/>
  <c r="Q203" i="1"/>
  <c r="V201" i="1"/>
  <c r="U201" i="1"/>
  <c r="T201" i="1"/>
  <c r="S201" i="1"/>
  <c r="R201" i="1"/>
  <c r="Q201" i="1"/>
  <c r="Z200" i="1"/>
  <c r="Y200" i="1"/>
  <c r="X200" i="1"/>
  <c r="W200" i="1"/>
  <c r="V200" i="1"/>
  <c r="U200" i="1"/>
  <c r="T200" i="1"/>
  <c r="S200" i="1"/>
  <c r="R200" i="1"/>
  <c r="Q200" i="1"/>
  <c r="R197" i="1"/>
  <c r="Q197" i="1"/>
  <c r="W196" i="1"/>
  <c r="V196" i="1"/>
  <c r="U196" i="1"/>
  <c r="T196" i="1"/>
  <c r="S196" i="1"/>
  <c r="R196" i="1"/>
  <c r="Q196" i="1"/>
  <c r="X194" i="1"/>
  <c r="W194" i="1"/>
  <c r="V194" i="1"/>
  <c r="U194" i="1"/>
  <c r="T194" i="1"/>
  <c r="S194" i="1"/>
  <c r="R194" i="1"/>
  <c r="Q194" i="1"/>
  <c r="R193" i="1"/>
  <c r="Q193" i="1"/>
  <c r="Q192" i="1"/>
  <c r="W191" i="1"/>
  <c r="V191" i="1"/>
  <c r="U191" i="1"/>
  <c r="T191" i="1"/>
  <c r="S191" i="1"/>
  <c r="R191" i="1"/>
  <c r="Q191" i="1"/>
  <c r="T189" i="1"/>
  <c r="S189" i="1"/>
  <c r="R189" i="1"/>
  <c r="Q189" i="1"/>
  <c r="R188" i="1"/>
  <c r="Q188" i="1"/>
  <c r="S187" i="1"/>
  <c r="R187" i="1"/>
  <c r="Q187" i="1"/>
  <c r="U186" i="1"/>
  <c r="T186" i="1"/>
  <c r="S186" i="1"/>
  <c r="R186" i="1"/>
  <c r="Q186" i="1"/>
  <c r="Z185" i="1"/>
  <c r="Y185" i="1"/>
  <c r="X185" i="1"/>
  <c r="W185" i="1"/>
  <c r="V185" i="1"/>
  <c r="U185" i="1"/>
  <c r="T185" i="1"/>
  <c r="S185" i="1"/>
  <c r="R185" i="1"/>
  <c r="Q185" i="1"/>
  <c r="V184" i="1"/>
  <c r="U184" i="1"/>
  <c r="T184" i="1"/>
  <c r="S184" i="1"/>
  <c r="R184" i="1"/>
  <c r="Q184" i="1"/>
  <c r="S183" i="1"/>
  <c r="R183" i="1"/>
  <c r="Q183" i="1"/>
  <c r="W182" i="1"/>
  <c r="V182" i="1"/>
  <c r="U182" i="1"/>
  <c r="T182" i="1"/>
  <c r="S182" i="1"/>
  <c r="R182" i="1"/>
  <c r="Q182" i="1"/>
  <c r="Q181" i="1"/>
  <c r="AE180" i="1"/>
  <c r="AD180" i="1"/>
  <c r="AC180" i="1"/>
  <c r="AB180" i="1"/>
  <c r="AA180" i="1"/>
  <c r="Z180" i="1"/>
  <c r="Y180" i="1"/>
  <c r="X180" i="1"/>
  <c r="W180" i="1"/>
  <c r="V180" i="1"/>
  <c r="U180" i="1"/>
  <c r="T180" i="1"/>
  <c r="S180" i="1"/>
  <c r="R180" i="1"/>
  <c r="Q180" i="1"/>
  <c r="AE179" i="1"/>
  <c r="AD179" i="1"/>
  <c r="AC179" i="1"/>
  <c r="AB179" i="1"/>
  <c r="AA179" i="1"/>
  <c r="Z179" i="1"/>
  <c r="Y179" i="1"/>
  <c r="X179" i="1"/>
  <c r="W179" i="1"/>
  <c r="V179" i="1"/>
  <c r="U179" i="1"/>
  <c r="T179" i="1"/>
  <c r="S179" i="1"/>
  <c r="R179" i="1"/>
  <c r="Q179" i="1"/>
  <c r="T177" i="1"/>
  <c r="S177" i="1"/>
  <c r="R177" i="1"/>
  <c r="Q177" i="1"/>
  <c r="V176" i="1"/>
  <c r="U176" i="1"/>
  <c r="T176" i="1"/>
  <c r="S176" i="1"/>
  <c r="R176" i="1"/>
  <c r="Q176" i="1"/>
  <c r="Z175" i="1"/>
  <c r="Y175" i="1"/>
  <c r="X175" i="1"/>
  <c r="W175" i="1"/>
  <c r="V175" i="1"/>
  <c r="U175" i="1"/>
  <c r="T175" i="1"/>
  <c r="S175" i="1"/>
  <c r="R175" i="1"/>
  <c r="Q175" i="1"/>
  <c r="Q173" i="1"/>
  <c r="R172" i="1"/>
  <c r="Q172" i="1"/>
  <c r="Z170" i="1"/>
  <c r="Y170" i="1"/>
  <c r="X170" i="1"/>
  <c r="W170" i="1"/>
  <c r="V170" i="1"/>
  <c r="U170" i="1"/>
  <c r="T170" i="1"/>
  <c r="S170" i="1"/>
  <c r="R170" i="1"/>
  <c r="Q170" i="1"/>
  <c r="S168" i="1"/>
  <c r="R168" i="1"/>
  <c r="Q168" i="1"/>
  <c r="Q167" i="1"/>
  <c r="Q166" i="1"/>
  <c r="U165" i="1"/>
  <c r="T165" i="1"/>
  <c r="S165" i="1"/>
  <c r="R165" i="1"/>
  <c r="Q165" i="1"/>
  <c r="U164" i="1"/>
  <c r="T164" i="1"/>
  <c r="S164" i="1"/>
  <c r="R164" i="1"/>
  <c r="Q164" i="1"/>
  <c r="T159" i="1"/>
  <c r="S159" i="1"/>
  <c r="R159" i="1"/>
  <c r="Q159" i="1"/>
  <c r="Q157" i="1"/>
  <c r="U155" i="1"/>
  <c r="T155" i="1"/>
  <c r="S155" i="1"/>
  <c r="R155" i="1"/>
  <c r="Q155" i="1"/>
  <c r="W154" i="1"/>
  <c r="V154" i="1"/>
  <c r="U154" i="1"/>
  <c r="T154" i="1"/>
  <c r="S154" i="1"/>
  <c r="R154" i="1"/>
  <c r="Q154" i="1"/>
  <c r="R153" i="1"/>
  <c r="Q153" i="1"/>
  <c r="U150" i="1"/>
  <c r="T150" i="1"/>
  <c r="S150" i="1"/>
  <c r="R150" i="1"/>
  <c r="Q150" i="1"/>
  <c r="T148" i="1"/>
  <c r="S148" i="1"/>
  <c r="R148" i="1"/>
  <c r="Q148" i="1"/>
  <c r="R147" i="1"/>
  <c r="Q147" i="1"/>
  <c r="Q146" i="1"/>
  <c r="S145" i="1"/>
  <c r="R145" i="1"/>
  <c r="Q145" i="1"/>
  <c r="V144" i="1"/>
  <c r="U144" i="1"/>
  <c r="T144" i="1"/>
  <c r="S144" i="1"/>
  <c r="R144" i="1"/>
  <c r="Q144" i="1"/>
  <c r="T143" i="1"/>
  <c r="S143" i="1"/>
  <c r="R143" i="1"/>
  <c r="Q143" i="1"/>
  <c r="S142" i="1"/>
  <c r="R142" i="1"/>
  <c r="Q142" i="1"/>
  <c r="R141" i="1"/>
  <c r="Q141" i="1"/>
  <c r="S140" i="1"/>
  <c r="R140" i="1"/>
  <c r="Q140" i="1"/>
  <c r="X139" i="1"/>
  <c r="W139" i="1"/>
  <c r="V139" i="1"/>
  <c r="U139" i="1"/>
  <c r="T139" i="1"/>
  <c r="S139" i="1"/>
  <c r="R139" i="1"/>
  <c r="Q139" i="1"/>
  <c r="V138" i="1"/>
  <c r="U138" i="1"/>
  <c r="T138" i="1"/>
  <c r="S138" i="1"/>
  <c r="R138" i="1"/>
  <c r="Q138" i="1"/>
  <c r="R137" i="1"/>
  <c r="Q137" i="1"/>
  <c r="Q135" i="1"/>
  <c r="Z134" i="1"/>
  <c r="Y134" i="1"/>
  <c r="X134" i="1"/>
  <c r="W134" i="1"/>
  <c r="V134" i="1"/>
  <c r="U134" i="1"/>
  <c r="T134" i="1"/>
  <c r="S134" i="1"/>
  <c r="R134" i="1"/>
  <c r="Q134" i="1"/>
  <c r="W133" i="1"/>
  <c r="V133" i="1"/>
  <c r="U133" i="1"/>
  <c r="T133" i="1"/>
  <c r="S133" i="1"/>
  <c r="R133" i="1"/>
  <c r="Q133" i="1"/>
  <c r="S132" i="1"/>
  <c r="R132" i="1"/>
  <c r="Q132" i="1"/>
  <c r="V131" i="1"/>
  <c r="U131" i="1"/>
  <c r="T131" i="1"/>
  <c r="S131" i="1"/>
  <c r="R131" i="1"/>
  <c r="Q131" i="1"/>
  <c r="S130" i="1"/>
  <c r="R130" i="1"/>
  <c r="Q130" i="1"/>
  <c r="V129" i="1"/>
  <c r="U129" i="1"/>
  <c r="T129" i="1"/>
  <c r="S129" i="1"/>
  <c r="R129" i="1"/>
  <c r="Q129" i="1"/>
  <c r="W128" i="1"/>
  <c r="V128" i="1"/>
  <c r="U128" i="1"/>
  <c r="T128" i="1"/>
  <c r="S128" i="1"/>
  <c r="R128" i="1"/>
  <c r="Q128" i="1"/>
  <c r="R127" i="1"/>
  <c r="Q127" i="1"/>
  <c r="V126" i="1"/>
  <c r="U126" i="1"/>
  <c r="T126" i="1"/>
  <c r="S126" i="1"/>
  <c r="R126" i="1"/>
  <c r="Q126" i="1"/>
  <c r="Q125" i="1"/>
  <c r="X124" i="1"/>
  <c r="W124" i="1"/>
  <c r="V124" i="1"/>
  <c r="U124" i="1"/>
  <c r="T124" i="1"/>
  <c r="S124" i="1"/>
  <c r="R124" i="1"/>
  <c r="Q124" i="1"/>
  <c r="AE122" i="1"/>
  <c r="AD122" i="1"/>
  <c r="AC122" i="1"/>
  <c r="AB122" i="1"/>
  <c r="AA122" i="1"/>
  <c r="Z122" i="1"/>
  <c r="Y122" i="1"/>
  <c r="X122" i="1"/>
  <c r="W122" i="1"/>
  <c r="V122" i="1"/>
  <c r="U122" i="1"/>
  <c r="T122" i="1"/>
  <c r="S122" i="1"/>
  <c r="R122" i="1"/>
  <c r="Q122" i="1"/>
  <c r="U121" i="1"/>
  <c r="T121" i="1"/>
  <c r="S121" i="1"/>
  <c r="R121" i="1"/>
  <c r="Q121" i="1"/>
  <c r="AE120" i="1"/>
  <c r="AD120" i="1"/>
  <c r="AC120" i="1"/>
  <c r="AB120" i="1"/>
  <c r="AA120" i="1"/>
  <c r="Z120" i="1"/>
  <c r="Y120" i="1"/>
  <c r="X120" i="1"/>
  <c r="W120" i="1"/>
  <c r="V120" i="1"/>
  <c r="U120" i="1"/>
  <c r="T120" i="1"/>
  <c r="S120" i="1"/>
  <c r="R120" i="1"/>
  <c r="Q120" i="1"/>
  <c r="X119" i="1"/>
  <c r="W119" i="1"/>
  <c r="V119" i="1"/>
  <c r="U119" i="1"/>
  <c r="T119" i="1"/>
  <c r="S119" i="1"/>
  <c r="R119" i="1"/>
  <c r="Q119" i="1"/>
  <c r="R117" i="1"/>
  <c r="Q117" i="1"/>
  <c r="Q116" i="1"/>
  <c r="T115" i="1"/>
  <c r="S115" i="1"/>
  <c r="R115" i="1"/>
  <c r="Q115" i="1"/>
  <c r="Q114" i="1"/>
  <c r="R113" i="1"/>
  <c r="Q113" i="1"/>
  <c r="S112" i="1"/>
  <c r="R112" i="1"/>
  <c r="Q112" i="1"/>
  <c r="S109" i="1"/>
  <c r="R109" i="1"/>
  <c r="Q109" i="1"/>
  <c r="R108" i="1"/>
  <c r="Q108" i="1"/>
  <c r="Z107" i="1"/>
  <c r="Y107" i="1"/>
  <c r="X107" i="1"/>
  <c r="W107" i="1"/>
  <c r="V107" i="1"/>
  <c r="U107" i="1"/>
  <c r="T107" i="1"/>
  <c r="S107" i="1"/>
  <c r="R107" i="1"/>
  <c r="Q107" i="1"/>
  <c r="R106" i="1"/>
  <c r="Q106" i="1"/>
  <c r="X103" i="1"/>
  <c r="W103" i="1"/>
  <c r="V103" i="1"/>
  <c r="U103" i="1"/>
  <c r="T103" i="1"/>
  <c r="S103" i="1"/>
  <c r="R103" i="1"/>
  <c r="Q103" i="1"/>
  <c r="Z102" i="1"/>
  <c r="Y102" i="1"/>
  <c r="X102" i="1"/>
  <c r="W102" i="1"/>
  <c r="V102" i="1"/>
  <c r="U102" i="1"/>
  <c r="T102" i="1"/>
  <c r="S102" i="1"/>
  <c r="R102" i="1"/>
  <c r="Q102" i="1"/>
  <c r="Z101" i="1"/>
  <c r="Y101" i="1"/>
  <c r="X101" i="1"/>
  <c r="W101" i="1"/>
  <c r="V101" i="1"/>
  <c r="U101" i="1"/>
  <c r="T101" i="1"/>
  <c r="S101" i="1"/>
  <c r="R101" i="1"/>
  <c r="Q101" i="1"/>
  <c r="U100" i="1"/>
  <c r="T100" i="1"/>
  <c r="S100" i="1"/>
  <c r="R100" i="1"/>
  <c r="Q100" i="1"/>
  <c r="T99" i="1"/>
  <c r="S99" i="1"/>
  <c r="R99" i="1"/>
  <c r="Q99" i="1"/>
  <c r="Q98" i="1"/>
  <c r="R97" i="1"/>
  <c r="Q97" i="1"/>
  <c r="R96" i="1"/>
  <c r="Q96" i="1"/>
  <c r="X95" i="1"/>
  <c r="W95" i="1"/>
  <c r="V95" i="1"/>
  <c r="U95" i="1"/>
  <c r="T95" i="1"/>
  <c r="S95" i="1"/>
  <c r="R95" i="1"/>
  <c r="Q95" i="1"/>
  <c r="U94" i="1"/>
  <c r="T94" i="1"/>
  <c r="S94" i="1"/>
  <c r="R94" i="1"/>
  <c r="Q94" i="1"/>
  <c r="Q93" i="1"/>
  <c r="Q92" i="1"/>
  <c r="Y91" i="1"/>
  <c r="X91" i="1"/>
  <c r="W91" i="1"/>
  <c r="V91" i="1"/>
  <c r="U91" i="1"/>
  <c r="T91" i="1"/>
  <c r="S91" i="1"/>
  <c r="R91" i="1"/>
  <c r="Q91" i="1"/>
  <c r="S90" i="1"/>
  <c r="R90" i="1"/>
  <c r="Q90" i="1"/>
  <c r="R89" i="1"/>
  <c r="Q89" i="1"/>
  <c r="S87" i="1"/>
  <c r="R87" i="1"/>
  <c r="Q87" i="1"/>
  <c r="R86" i="1"/>
  <c r="Q86" i="1"/>
  <c r="S85" i="1"/>
  <c r="R85" i="1"/>
  <c r="Q85" i="1"/>
  <c r="R84" i="1"/>
  <c r="Q84" i="1"/>
  <c r="R83" i="1"/>
  <c r="Q83" i="1"/>
  <c r="R82" i="1"/>
  <c r="Q82" i="1"/>
  <c r="Q81" i="1"/>
  <c r="Q80" i="1"/>
  <c r="S79" i="1"/>
  <c r="R79" i="1"/>
  <c r="Q79" i="1"/>
  <c r="Q78" i="1"/>
  <c r="S77" i="1"/>
  <c r="R77" i="1"/>
  <c r="Q77" i="1"/>
  <c r="U76" i="1"/>
  <c r="T76" i="1"/>
  <c r="S76" i="1"/>
  <c r="R76" i="1"/>
  <c r="Q76" i="1"/>
  <c r="W75" i="1"/>
  <c r="V75" i="1"/>
  <c r="U75" i="1"/>
  <c r="T75" i="1"/>
  <c r="S75" i="1"/>
  <c r="R75" i="1"/>
  <c r="Q75" i="1"/>
  <c r="Q74" i="1"/>
  <c r="AE73" i="1"/>
  <c r="AD73" i="1"/>
  <c r="AC73" i="1"/>
  <c r="AB73" i="1"/>
  <c r="AA73" i="1"/>
  <c r="Z73" i="1"/>
  <c r="Y73" i="1"/>
  <c r="X73" i="1"/>
  <c r="W73" i="1"/>
  <c r="V73" i="1"/>
  <c r="U73" i="1"/>
  <c r="T73" i="1"/>
  <c r="S73" i="1"/>
  <c r="R73" i="1"/>
  <c r="Q73" i="1"/>
  <c r="Q72" i="1"/>
  <c r="Q70" i="1"/>
  <c r="S69" i="1"/>
  <c r="R69" i="1"/>
  <c r="Q69" i="1"/>
  <c r="S68" i="1"/>
  <c r="R68" i="1"/>
  <c r="Q68" i="1"/>
  <c r="Q67" i="1"/>
  <c r="T66" i="1"/>
  <c r="S66" i="1"/>
  <c r="R66" i="1"/>
  <c r="Q66" i="1"/>
  <c r="S64" i="1"/>
  <c r="R64" i="1"/>
  <c r="Q64" i="1"/>
  <c r="S62" i="1"/>
  <c r="R62" i="1"/>
  <c r="Q62" i="1"/>
  <c r="Z59" i="1"/>
  <c r="Y59" i="1"/>
  <c r="X59" i="1"/>
  <c r="W59" i="1"/>
  <c r="V59" i="1"/>
  <c r="U59" i="1"/>
  <c r="T59" i="1"/>
  <c r="S59" i="1"/>
  <c r="R59" i="1"/>
  <c r="Q59" i="1"/>
  <c r="Z57" i="1"/>
  <c r="Y57" i="1"/>
  <c r="X57" i="1"/>
  <c r="W57" i="1"/>
  <c r="V57" i="1"/>
  <c r="U57" i="1"/>
  <c r="T57" i="1"/>
  <c r="S57" i="1"/>
  <c r="R57" i="1"/>
  <c r="Q57" i="1"/>
  <c r="U56" i="1"/>
  <c r="T56" i="1"/>
  <c r="S56" i="1"/>
  <c r="R56" i="1"/>
  <c r="Q56" i="1"/>
  <c r="W55" i="1"/>
  <c r="V55" i="1"/>
  <c r="U55" i="1"/>
  <c r="T55" i="1"/>
  <c r="S55" i="1"/>
  <c r="R55" i="1"/>
  <c r="Q55" i="1"/>
  <c r="Q54" i="1"/>
  <c r="U50" i="1"/>
  <c r="T50" i="1"/>
  <c r="S50" i="1"/>
  <c r="R50" i="1"/>
  <c r="Q50" i="1"/>
  <c r="U49" i="1"/>
  <c r="T49" i="1"/>
  <c r="S49" i="1"/>
  <c r="R49" i="1"/>
  <c r="Q49" i="1"/>
  <c r="R48" i="1"/>
  <c r="Q48" i="1"/>
  <c r="Q47" i="1"/>
  <c r="Q46" i="1"/>
  <c r="S45" i="1"/>
  <c r="R45" i="1"/>
  <c r="Q45" i="1"/>
  <c r="Q44" i="1"/>
  <c r="T43" i="1"/>
  <c r="S43" i="1"/>
  <c r="R43" i="1"/>
  <c r="Q43" i="1"/>
  <c r="Q42" i="1"/>
  <c r="U41" i="1"/>
  <c r="T41" i="1"/>
  <c r="S41" i="1"/>
  <c r="R41" i="1"/>
  <c r="Q41" i="1"/>
  <c r="S40" i="1"/>
  <c r="R40" i="1"/>
  <c r="Q40" i="1"/>
  <c r="R39" i="1"/>
  <c r="Q39" i="1"/>
  <c r="S38" i="1"/>
  <c r="R38" i="1"/>
  <c r="Q38" i="1"/>
  <c r="V37" i="1"/>
  <c r="U37" i="1"/>
  <c r="T37" i="1"/>
  <c r="S37" i="1"/>
  <c r="R37" i="1"/>
  <c r="Q37" i="1"/>
  <c r="Q35" i="1"/>
  <c r="U34" i="1"/>
  <c r="T34" i="1"/>
  <c r="S34" i="1"/>
  <c r="R34" i="1"/>
  <c r="Q34" i="1"/>
  <c r="Q33" i="1"/>
  <c r="T31" i="1"/>
  <c r="S31" i="1"/>
  <c r="R31" i="1"/>
  <c r="Q31" i="1"/>
  <c r="T29" i="1"/>
  <c r="S29" i="1"/>
  <c r="R29" i="1"/>
  <c r="Q29" i="1"/>
  <c r="Q28" i="1"/>
  <c r="U26" i="1"/>
  <c r="T26" i="1"/>
  <c r="S26" i="1"/>
  <c r="R26" i="1"/>
  <c r="Q26" i="1"/>
  <c r="Q25" i="1"/>
  <c r="Q24" i="1"/>
  <c r="S23" i="1"/>
  <c r="R23" i="1"/>
  <c r="Q23" i="1"/>
  <c r="U22" i="1"/>
  <c r="T22" i="1"/>
  <c r="S22" i="1"/>
  <c r="R22" i="1"/>
  <c r="Q22" i="1"/>
  <c r="U21" i="1"/>
  <c r="T21" i="1"/>
  <c r="S21" i="1"/>
  <c r="R21" i="1"/>
  <c r="Q21" i="1"/>
  <c r="R20" i="1"/>
  <c r="Q20" i="1"/>
  <c r="Q19" i="1"/>
  <c r="R18" i="1"/>
  <c r="Q18" i="1"/>
  <c r="V17" i="1"/>
  <c r="U17" i="1"/>
  <c r="T17" i="1"/>
  <c r="S17" i="1"/>
  <c r="R17" i="1"/>
  <c r="Q17" i="1"/>
  <c r="T14" i="1"/>
  <c r="S14" i="1"/>
  <c r="R14" i="1"/>
  <c r="Q14" i="1"/>
  <c r="X13" i="1"/>
  <c r="W13" i="1"/>
  <c r="V13" i="1"/>
  <c r="U13" i="1"/>
  <c r="T13" i="1"/>
  <c r="S13" i="1"/>
  <c r="R13" i="1"/>
  <c r="Q13" i="1"/>
  <c r="S12" i="1"/>
  <c r="R12" i="1"/>
  <c r="Q12" i="1"/>
  <c r="U11" i="1"/>
  <c r="T11" i="1"/>
  <c r="S11" i="1"/>
  <c r="R11" i="1"/>
  <c r="Q11" i="1"/>
  <c r="R10" i="1"/>
  <c r="Q10" i="1"/>
  <c r="Q8" i="1"/>
  <c r="R7" i="1"/>
  <c r="Q7" i="1"/>
  <c r="Q6" i="1"/>
  <c r="Q5" i="1"/>
  <c r="U3" i="1"/>
  <c r="T3" i="1"/>
  <c r="S3" i="1"/>
  <c r="R3" i="1"/>
  <c r="Q3" i="1"/>
  <c r="U2" i="1"/>
  <c r="T2" i="1"/>
  <c r="S2" i="1"/>
  <c r="R2" i="1"/>
  <c r="Q2" i="1"/>
</calcChain>
</file>

<file path=xl/sharedStrings.xml><?xml version="1.0" encoding="utf-8"?>
<sst xmlns="http://schemas.openxmlformats.org/spreadsheetml/2006/main" count="32313" uniqueCount="12290">
  <si>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</si>
  <si>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</si>
  <si>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</si>
  <si>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</si>
  <si>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</si>
  <si>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</si>
  <si>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</si>
  <si>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</si>
  <si>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</si>
  <si>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</si>
  <si>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</si>
  <si>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</si>
  <si>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</si>
  <si>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</si>
  <si>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</si>
  <si>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</si>
  <si>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</si>
  <si>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</si>
  <si>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</si>
  <si>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</si>
  <si>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</si>
  <si>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</si>
  <si>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</si>
  <si>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</si>
  <si>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</si>
  <si>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</si>
  <si>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</si>
  <si>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</si>
  <si>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</si>
  <si>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</si>
  <si>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</si>
  <si>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</si>
  <si>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</si>
  <si>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</si>
  <si>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</si>
  <si>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</si>
  <si>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</si>
  <si>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</si>
  <si>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</si>
  <si>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</si>
  <si>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</si>
  <si>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</si>
  <si>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</si>
  <si>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</si>
  <si>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</si>
  <si>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</si>
  <si>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</si>
  <si>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</si>
  <si>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</si>
  <si>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</si>
  <si>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</si>
  <si>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</si>
  <si>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</si>
  <si>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</si>
  <si>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</si>
  <si>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</si>
  <si>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</si>
  <si>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</si>
  <si>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</si>
  <si>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</si>
  <si>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</si>
  <si>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</si>
  <si>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</si>
  <si>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</si>
  <si>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</si>
  <si>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</si>
  <si>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</si>
  <si>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</si>
  <si>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</si>
  <si>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</si>
  <si>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</si>
  <si>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</si>
  <si>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</si>
  <si>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</si>
  <si>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</si>
  <si>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</si>
  <si>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</si>
  <si>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</si>
  <si>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</si>
  <si>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</si>
  <si>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</si>
  <si>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</si>
  <si>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</si>
  <si>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</si>
  <si>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</si>
  <si>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</si>
  <si>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</si>
  <si>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</si>
  <si>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</si>
  <si>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</si>
  <si>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</si>
  <si>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</si>
  <si>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</si>
  <si>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</si>
  <si>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</si>
  <si>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</si>
  <si>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</si>
  <si>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</si>
  <si>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</si>
  <si>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</si>
  <si>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</si>
  <si>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</si>
  <si>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</si>
  <si>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</si>
  <si>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</si>
  <si>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</si>
  <si>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</si>
  <si>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</si>
  <si>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</si>
  <si>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</si>
  <si>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</si>
  <si>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</si>
  <si>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</si>
  <si>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</si>
  <si>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</si>
  <si>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</si>
  <si>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</si>
  <si>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</si>
  <si>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</si>
  <si>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</si>
  <si>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</si>
  <si>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</si>
  <si>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</si>
  <si>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</si>
  <si>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</si>
  <si>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</si>
  <si>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</si>
  <si>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</si>
  <si>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</si>
  <si>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</si>
  <si>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</si>
  <si>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</si>
  <si>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</si>
  <si>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</si>
  <si>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</si>
  <si>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</si>
  <si>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</si>
  <si>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</si>
  <si>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</si>
  <si>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</si>
  <si>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</si>
  <si>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</si>
  <si>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</si>
  <si>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</si>
  <si>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</si>
  <si>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</si>
  <si>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</si>
  <si>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</si>
  <si>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</si>
  <si>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</si>
  <si>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</si>
  <si>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</si>
  <si>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</si>
  <si>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</si>
  <si>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</si>
  <si>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</si>
  <si>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</si>
  <si>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</si>
  <si>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</si>
  <si>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</si>
  <si>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</si>
  <si>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</si>
  <si>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</si>
  <si>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</si>
  <si>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</si>
  <si>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</si>
  <si>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</si>
  <si>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</si>
  <si>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</si>
  <si>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</si>
  <si>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</si>
  <si>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</si>
  <si>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</si>
  <si>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</si>
  <si>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</si>
  <si>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</si>
  <si>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</si>
  <si>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</si>
  <si>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</si>
  <si>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</si>
  <si>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</si>
  <si>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</si>
  <si>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</si>
  <si>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</si>
  <si>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</si>
  <si>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</si>
  <si>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</si>
  <si>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</si>
  <si>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</si>
  <si>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</si>
  <si>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</si>
  <si>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</si>
  <si>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</si>
  <si>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</si>
  <si>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</si>
  <si>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</si>
  <si>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</si>
  <si>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</si>
  <si>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</si>
  <si>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</si>
  <si>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</si>
  <si>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</si>
  <si>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</si>
  <si>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</si>
  <si>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</si>
  <si>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</si>
  <si>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</si>
  <si>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</si>
  <si>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</si>
  <si>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</si>
  <si>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</si>
  <si>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</si>
  <si>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</si>
  <si>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</si>
  <si>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</si>
  <si>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</si>
  <si>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</si>
  <si>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</si>
  <si>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</si>
  <si>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</si>
  <si>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</si>
  <si>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</si>
  <si>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</si>
  <si>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</si>
  <si>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</si>
  <si>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</si>
  <si>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</si>
  <si>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</si>
  <si>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</si>
  <si>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</si>
  <si>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</si>
  <si>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</si>
  <si>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</si>
  <si>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</si>
  <si>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</si>
  <si>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</si>
  <si>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</si>
  <si>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</si>
  <si>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</si>
  <si>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</si>
  <si>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</si>
  <si>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</si>
  <si>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</si>
  <si>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</si>
  <si>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</si>
  <si>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</si>
  <si>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</si>
  <si>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</si>
  <si>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</si>
  <si>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</si>
  <si>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</si>
  <si>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</si>
  <si>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</si>
  <si>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</si>
  <si>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</si>
  <si>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</si>
  <si>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</si>
  <si>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</si>
  <si>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</si>
  <si>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</si>
  <si>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</si>
  <si>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</si>
  <si>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</si>
  <si>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</si>
  <si>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</si>
  <si>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</si>
  <si>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</si>
  <si>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</si>
  <si>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</si>
  <si>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</si>
  <si>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</si>
  <si>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</si>
  <si>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</si>
  <si>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</si>
  <si>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</si>
  <si>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</si>
  <si>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</si>
  <si>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</si>
  <si>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</si>
  <si>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</si>
  <si>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</si>
  <si>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</si>
  <si>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</si>
  <si>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</si>
  <si>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</si>
  <si>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</si>
  <si>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</si>
  <si>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</si>
  <si>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</si>
  <si>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</si>
  <si>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</si>
  <si>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</si>
  <si>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</si>
  <si>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</si>
  <si>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</si>
  <si>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</si>
  <si>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</si>
  <si>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</si>
  <si>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</si>
  <si>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</si>
  <si>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</si>
  <si>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</si>
  <si>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</si>
  <si>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</si>
  <si>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</si>
  <si>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</si>
  <si>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</si>
  <si>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</si>
  <si>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</si>
  <si>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</si>
  <si>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</si>
  <si>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</si>
  <si>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</si>
  <si>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</si>
  <si>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</si>
  <si>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</si>
  <si>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</si>
  <si>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</si>
  <si>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</si>
  <si>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</si>
  <si>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</si>
  <si>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</si>
  <si>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</si>
  <si>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</si>
  <si>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</si>
  <si>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</si>
  <si>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</si>
  <si>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</si>
  <si>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</si>
  <si>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</si>
  <si>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</si>
  <si>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</si>
  <si>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</si>
  <si>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</si>
  <si>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</si>
  <si>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</si>
  <si>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</si>
  <si>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</si>
  <si>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</si>
  <si>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</si>
  <si>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</si>
  <si>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</si>
  <si>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</si>
  <si>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</si>
  <si>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</si>
  <si>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</si>
  <si>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</si>
  <si>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</si>
  <si>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</si>
  <si>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</si>
  <si>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</si>
  <si>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</si>
  <si>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</si>
  <si>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</si>
  <si>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</si>
  <si>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</si>
  <si>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</si>
  <si>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</si>
  <si>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</si>
  <si>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</si>
  <si>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</si>
  <si>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</si>
  <si>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</si>
  <si>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</si>
  <si>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</si>
  <si>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</si>
  <si>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</si>
  <si>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</si>
  <si>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</si>
  <si>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</si>
  <si>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</si>
  <si>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</si>
  <si>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</si>
  <si>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</si>
  <si>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</si>
  <si>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</si>
  <si>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</si>
  <si>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</si>
  <si>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</si>
  <si>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</si>
  <si>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</si>
  <si>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</si>
  <si>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</si>
  <si>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</si>
  <si>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</si>
  <si>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</si>
  <si>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</si>
  <si>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</si>
  <si>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</si>
  <si>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</si>
  <si>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</si>
  <si>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</si>
  <si>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</si>
  <si>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</si>
  <si>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</si>
  <si>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</si>
  <si>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</si>
  <si>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</si>
  <si>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</si>
  <si>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</si>
  <si>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</si>
  <si>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</si>
  <si>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</si>
  <si>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</si>
  <si>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</si>
  <si>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</si>
  <si>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</si>
  <si>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</si>
  <si>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</si>
  <si>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</si>
  <si>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</si>
  <si>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</si>
  <si>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</si>
  <si>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</si>
  <si>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</si>
  <si>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</si>
  <si>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</si>
  <si>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</si>
  <si>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</si>
  <si>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</si>
  <si>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</si>
  <si>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</si>
  <si>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</si>
  <si>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</si>
  <si>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</si>
  <si>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</si>
  <si>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</si>
  <si>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</si>
  <si>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</si>
  <si>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</si>
  <si>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</si>
  <si>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</si>
  <si>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</si>
  <si>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</si>
  <si>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</si>
  <si>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</si>
  <si>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</si>
  <si>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</si>
  <si>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</si>
  <si>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</si>
  <si>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</si>
  <si>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</si>
  <si>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</si>
  <si>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</si>
  <si>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</si>
  <si>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</si>
  <si>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</si>
  <si>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</si>
  <si>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</si>
  <si>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</si>
  <si>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</si>
  <si>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</si>
  <si>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</si>
  <si>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</si>
  <si>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</si>
  <si>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</si>
  <si>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</si>
  <si>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</si>
  <si>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</si>
  <si>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</si>
  <si>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</si>
  <si>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</si>
  <si>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</si>
  <si>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</si>
  <si>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</si>
  <si>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</si>
  <si>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</si>
  <si>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</si>
  <si>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</si>
  <si>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</si>
  <si>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</si>
  <si>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</si>
  <si>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</si>
  <si>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</si>
  <si>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</si>
  <si>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</si>
  <si>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</si>
  <si>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</si>
  <si>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</si>
  <si>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</si>
  <si>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</si>
  <si>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</si>
  <si>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</si>
  <si>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</si>
  <si>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</si>
  <si>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</si>
  <si>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</si>
  <si>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</si>
  <si>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</si>
  <si>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</si>
  <si>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</si>
  <si>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</si>
  <si>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</si>
  <si>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</si>
  <si>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</si>
  <si>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</si>
  <si>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</si>
  <si>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</si>
  <si>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</si>
  <si>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</si>
  <si>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</si>
  <si>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</si>
  <si>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</si>
  <si>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</si>
  <si>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</si>
  <si>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</si>
  <si>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</si>
  <si>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</si>
  <si>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</si>
  <si>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</si>
  <si>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</si>
  <si>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</si>
  <si>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</si>
  <si>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</si>
  <si>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</si>
  <si>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</si>
  <si>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</si>
  <si>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</si>
  <si>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</si>
  <si>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</si>
  <si>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</si>
  <si>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</si>
  <si>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</si>
  <si>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</si>
  <si>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</si>
  <si>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</si>
  <si>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</si>
  <si>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</si>
  <si>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</si>
  <si>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</si>
  <si>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</si>
  <si>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</si>
  <si>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</si>
  <si>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</si>
  <si>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</si>
  <si>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</si>
  <si>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</si>
  <si>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</si>
  <si>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</si>
  <si>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</si>
  <si>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</si>
  <si>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</si>
  <si>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</si>
  <si>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</si>
  <si>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</si>
  <si>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</si>
  <si>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</si>
  <si>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</si>
  <si>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</si>
  <si>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</si>
  <si>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</si>
  <si>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</si>
  <si>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</si>
  <si>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</si>
  <si>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</si>
  <si>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</si>
  <si>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</si>
  <si>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</si>
  <si>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</si>
  <si>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</si>
  <si>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</si>
  <si>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</si>
  <si>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</si>
  <si>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</si>
  <si>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</si>
  <si>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</si>
  <si>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</si>
  <si>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</si>
  <si>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</si>
  <si>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</si>
  <si>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</si>
  <si>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</si>
  <si>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</si>
  <si>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</si>
  <si>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</si>
  <si>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</si>
  <si>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</si>
  <si>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</si>
  <si>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</si>
  <si>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</si>
  <si>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</si>
  <si>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</si>
  <si>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</si>
  <si>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</si>
  <si>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</si>
  <si>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</si>
  <si>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</si>
  <si>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</si>
  <si>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</si>
  <si>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</si>
  <si>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</si>
  <si>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</si>
  <si>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</si>
  <si>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</si>
  <si>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</si>
  <si>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</si>
  <si>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</si>
  <si>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</si>
  <si>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</si>
  <si>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</si>
  <si>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</si>
  <si>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</si>
  <si>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</si>
  <si>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</si>
  <si>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</si>
  <si>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</si>
  <si>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</si>
  <si>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</si>
  <si>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</si>
  <si>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</si>
  <si>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</si>
  <si>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</si>
  <si>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</si>
  <si>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</si>
  <si>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</si>
  <si>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</si>
  <si>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</si>
  <si>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</si>
  <si>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</si>
  <si>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</si>
  <si>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</si>
  <si>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</si>
  <si>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</si>
  <si>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</si>
  <si>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</si>
  <si>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</si>
  <si>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</si>
  <si>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</si>
  <si>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</si>
  <si>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</si>
  <si>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</si>
  <si>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</si>
  <si>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</si>
  <si>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</si>
  <si>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</si>
  <si>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</si>
  <si>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</si>
  <si>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</si>
  <si>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</si>
  <si>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</si>
  <si>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</si>
  <si>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</si>
  <si>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</si>
  <si>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</si>
  <si>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</si>
  <si>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</si>
  <si>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</si>
  <si>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</si>
  <si>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</si>
  <si>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</si>
  <si>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</si>
  <si>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</si>
  <si>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</si>
  <si>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</si>
  <si>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</si>
  <si>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</si>
  <si>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</si>
  <si>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</si>
  <si>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</si>
  <si>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</si>
  <si>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</si>
  <si>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</si>
  <si>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</si>
  <si>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</si>
  <si>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</si>
  <si>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</si>
  <si>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</si>
  <si>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</si>
  <si>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</si>
  <si>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</si>
  <si>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</si>
  <si>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</si>
  <si>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</si>
  <si>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</si>
  <si>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</si>
  <si>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</si>
  <si>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</si>
  <si>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</si>
  <si>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</si>
  <si>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</si>
  <si>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</si>
  <si>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</si>
  <si>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</si>
  <si>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</si>
  <si>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</si>
  <si>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</si>
  <si>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</si>
  <si>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</si>
  <si>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</si>
  <si>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</si>
  <si>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</si>
  <si>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</si>
  <si>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</si>
  <si>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</si>
  <si>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</si>
  <si>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</si>
  <si>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</si>
  <si>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</si>
  <si>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</si>
  <si>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</si>
  <si>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</si>
  <si>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</si>
  <si>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</si>
  <si>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</si>
  <si>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</si>
  <si>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</si>
  <si>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</si>
  <si>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</si>
  <si>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</si>
  <si>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</si>
  <si>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</si>
  <si>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</si>
  <si>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</si>
  <si>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</si>
  <si>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</si>
  <si>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</si>
  <si>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</si>
  <si>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</si>
  <si>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</si>
  <si>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</si>
  <si>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</si>
  <si>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</si>
  <si>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</si>
  <si>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</si>
  <si>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</si>
  <si>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</si>
  <si>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</si>
  <si>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</si>
  <si>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</si>
  <si>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</si>
  <si>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</si>
  <si>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</si>
  <si>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</si>
  <si>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</si>
  <si>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</si>
  <si>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</si>
  <si>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</si>
  <si>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</si>
  <si>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</si>
  <si>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</si>
  <si>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</si>
  <si>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</si>
  <si>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</si>
  <si>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</si>
  <si>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</si>
  <si>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</si>
  <si>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</si>
  <si>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</si>
  <si>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</si>
  <si>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</si>
  <si>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</si>
  <si>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</si>
  <si>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</si>
  <si>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</si>
  <si>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</si>
  <si>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</si>
  <si>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</si>
  <si>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</si>
  <si>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</si>
  <si>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</si>
  <si>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</si>
  <si>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</si>
  <si>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</si>
  <si>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</si>
  <si>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</si>
  <si>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</si>
  <si>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</si>
  <si>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</si>
  <si>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</si>
  <si>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</si>
  <si>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</si>
  <si>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</si>
  <si>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</si>
  <si>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</si>
  <si>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</si>
  <si>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</si>
  <si>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</si>
  <si>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</si>
  <si>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</si>
  <si>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</si>
  <si>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</si>
  <si>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</si>
  <si>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</si>
  <si>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</si>
  <si>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</si>
  <si>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</si>
  <si>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</si>
  <si>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</si>
  <si>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</si>
  <si>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</si>
  <si>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</si>
  <si>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</si>
  <si>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</si>
  <si>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</si>
  <si>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</si>
  <si>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</si>
  <si>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</si>
  <si>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</si>
  <si>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</si>
  <si>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</si>
  <si>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</si>
  <si>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</si>
  <si>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</si>
  <si>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</si>
  <si>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</si>
  <si>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</si>
  <si>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</si>
  <si>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</si>
  <si>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</si>
  <si>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</si>
  <si>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</si>
  <si>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</si>
  <si>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</si>
  <si>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</si>
  <si>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</si>
  <si>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</si>
  <si>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</si>
  <si>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</si>
  <si>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</si>
  <si>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</si>
  <si>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</si>
  <si>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</si>
  <si>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</si>
  <si>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</si>
  <si>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</si>
  <si>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</si>
  <si>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</si>
  <si>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</si>
  <si>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</si>
  <si>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</si>
  <si>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</si>
  <si>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</si>
  <si>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</si>
  <si>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</si>
  <si>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</si>
  <si>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</si>
  <si>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</si>
  <si>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</si>
  <si>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</si>
  <si>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</si>
  <si>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</si>
  <si>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</si>
  <si>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</si>
  <si>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</si>
  <si>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</si>
  <si>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</si>
  <si>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</si>
  <si>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</si>
  <si>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</si>
  <si>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</si>
  <si>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</si>
  <si>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</si>
  <si>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</si>
  <si>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</si>
  <si>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</si>
  <si>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</si>
  <si>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</si>
  <si>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</si>
  <si>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</si>
  <si>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</si>
  <si>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</si>
  <si>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</si>
  <si>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</si>
  <si>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</si>
  <si>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</si>
  <si>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</si>
  <si>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</si>
  <si>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</si>
  <si>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</si>
  <si>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</si>
  <si>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</si>
  <si>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</si>
  <si>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</si>
  <si>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</si>
  <si>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</si>
  <si>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</si>
  <si>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</si>
  <si>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</si>
  <si>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</si>
  <si>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</si>
  <si>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</si>
  <si>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</si>
  <si>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</si>
  <si>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</si>
  <si>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</si>
  <si>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</si>
  <si>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</si>
  <si>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</si>
  <si>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</si>
  <si>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</si>
  <si>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</si>
  <si>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</si>
  <si>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</si>
  <si>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</si>
  <si>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</si>
  <si>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</si>
  <si>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</si>
  <si>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</si>
  <si>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</si>
  <si>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</si>
  <si>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</si>
  <si>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</si>
  <si>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</si>
  <si>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</si>
  <si>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</si>
  <si>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</si>
  <si>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</si>
  <si>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</si>
  <si>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</si>
  <si>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</si>
  <si>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</si>
  <si>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</si>
  <si>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</si>
  <si>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</si>
  <si>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</si>
  <si>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</si>
  <si>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</si>
  <si>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</si>
  <si>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</si>
  <si>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</si>
  <si>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</si>
  <si>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</si>
  <si>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</si>
  <si>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</si>
  <si>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</si>
  <si>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</si>
  <si>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</si>
  <si>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</si>
  <si>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</si>
  <si>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</si>
  <si>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</si>
  <si>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</si>
  <si>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</si>
  <si>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</si>
  <si>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</si>
  <si>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</si>
  <si>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</si>
  <si>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</si>
  <si>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</si>
  <si>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</si>
  <si>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</si>
  <si>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</si>
  <si>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</si>
  <si>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</si>
  <si>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</si>
  <si>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</si>
  <si>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</si>
  <si>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</si>
  <si>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</si>
  <si>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</si>
  <si>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</si>
  <si>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</si>
  <si>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</si>
  <si>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</si>
  <si>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</si>
  <si>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</si>
  <si>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</si>
  <si>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</si>
  <si>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</si>
  <si>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</si>
  <si>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</si>
  <si>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</si>
  <si>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</si>
  <si>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</si>
  <si>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</si>
  <si>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</si>
  <si>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</si>
  <si>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</si>
  <si>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</si>
  <si>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</si>
  <si>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</si>
  <si>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</si>
  <si>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</si>
  <si>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</si>
  <si>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</si>
  <si>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</si>
  <si>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</si>
  <si>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</si>
  <si>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</si>
  <si>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</si>
  <si>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</si>
  <si>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</si>
  <si>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</si>
  <si>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</si>
  <si>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</si>
  <si>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</si>
  <si>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</si>
  <si>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</si>
  <si>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</si>
  <si>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</si>
  <si>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</si>
  <si>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</si>
  <si>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</si>
  <si>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</si>
  <si>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</si>
  <si>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</si>
  <si>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</si>
  <si>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</si>
  <si>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</si>
  <si>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</si>
  <si>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</si>
  <si>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</si>
  <si>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</si>
  <si>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</si>
  <si>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</si>
  <si>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</si>
  <si>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</si>
  <si>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</si>
  <si>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</si>
  <si>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</si>
  <si>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</si>
  <si>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</si>
  <si>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</si>
  <si>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</si>
  <si>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</si>
  <si>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</si>
  <si>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</si>
  <si>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</si>
  <si>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</si>
  <si>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</si>
  <si>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</si>
  <si>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</si>
  <si>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</si>
  <si>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</si>
  <si>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</si>
  <si>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</si>
  <si>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</si>
  <si>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</si>
  <si>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</si>
  <si>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</si>
  <si>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</si>
  <si>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</si>
  <si>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</si>
  <si>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</si>
  <si>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</si>
  <si>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</si>
  <si>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</si>
  <si>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</si>
  <si>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</si>
  <si>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</si>
  <si>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</si>
  <si>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</si>
  <si>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</si>
  <si>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</si>
  <si>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</si>
  <si>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</si>
  <si>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</si>
  <si>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</si>
  <si>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</si>
  <si>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</si>
  <si>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</si>
  <si>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</si>
  <si>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</si>
  <si>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</si>
  <si>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</si>
  <si>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</si>
  <si>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</si>
  <si>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</si>
  <si>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</si>
  <si>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</si>
  <si>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</si>
  <si>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</si>
  <si>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</si>
  <si>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</si>
  <si>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</si>
  <si>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</si>
  <si>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</si>
  <si>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</si>
  <si>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</si>
  <si>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</si>
  <si>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</si>
  <si>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</si>
  <si>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</si>
  <si>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</si>
  <si>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</si>
  <si>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</si>
  <si>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</si>
  <si>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</si>
  <si>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</si>
  <si>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</si>
  <si>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</si>
  <si>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</si>
  <si>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</si>
  <si>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</si>
  <si>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</si>
  <si>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</si>
  <si>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</si>
  <si>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</si>
  <si>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</si>
  <si>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</si>
  <si>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</si>
  <si>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</si>
  <si>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</si>
  <si>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</si>
  <si>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</si>
  <si>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</si>
  <si>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</si>
  <si>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</si>
  <si>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</si>
  <si>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</si>
  <si>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</si>
  <si>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</si>
  <si>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</si>
  <si>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</si>
  <si>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</si>
  <si>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</si>
  <si>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</si>
  <si>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</si>
  <si>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</si>
  <si>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</si>
  <si>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</si>
  <si>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</si>
  <si>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</si>
  <si>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</si>
  <si>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</si>
  <si>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</si>
  <si>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</si>
  <si>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</si>
  <si>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</si>
  <si>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</si>
  <si>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</si>
  <si>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</si>
  <si>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</si>
  <si>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</si>
  <si>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</si>
  <si>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</si>
  <si>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</si>
  <si>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</si>
  <si>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</si>
  <si>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</si>
  <si>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</si>
  <si>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</si>
  <si>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</si>
  <si>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</si>
  <si>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</si>
  <si>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</si>
  <si>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</si>
  <si>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</si>
  <si>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</si>
  <si>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</si>
  <si>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</si>
  <si>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</si>
  <si>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</si>
  <si>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</si>
  <si>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</si>
  <si>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</si>
  <si>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</si>
  <si>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</si>
  <si>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</si>
  <si>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</si>
  <si>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</si>
  <si>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</si>
  <si>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</si>
  <si>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</si>
  <si>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</si>
  <si>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</si>
  <si>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</si>
  <si>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</si>
  <si>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</si>
  <si>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</si>
  <si>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</si>
  <si>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</si>
  <si>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</si>
  <si>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</si>
  <si>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</si>
  <si>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</si>
  <si>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</si>
  <si>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</si>
  <si>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</si>
  <si>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</si>
  <si>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</si>
  <si>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</si>
  <si>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</si>
  <si>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</si>
  <si>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</si>
  <si>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</si>
  <si>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</si>
  <si>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</si>
  <si>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</si>
  <si>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</si>
  <si>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</si>
  <si>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</si>
  <si>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</si>
  <si>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</si>
  <si>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</si>
  <si>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</si>
  <si>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</si>
  <si>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</si>
  <si>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</si>
  <si>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</si>
  <si>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</si>
  <si>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</si>
  <si>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</si>
  <si>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</si>
  <si>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</si>
  <si>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</si>
  <si>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</si>
  <si>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</si>
  <si>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</si>
  <si>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</si>
  <si>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</si>
  <si>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</si>
  <si>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</si>
  <si>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</si>
  <si>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</si>
  <si>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</si>
  <si>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</si>
  <si>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</si>
  <si>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</si>
  <si>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</si>
  <si>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</si>
  <si>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</si>
  <si>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</si>
  <si>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</si>
  <si>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</si>
  <si>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</si>
  <si>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</si>
  <si>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</si>
  <si>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</si>
  <si>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</si>
  <si>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</si>
  <si>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</si>
  <si>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</si>
  <si>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</si>
  <si>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</si>
  <si>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</si>
  <si>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</si>
  <si>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</si>
  <si>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</si>
  <si>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</si>
  <si>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</si>
  <si>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</si>
  <si>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</si>
  <si>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</si>
  <si>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</si>
  <si>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</si>
  <si>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</si>
  <si>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</si>
  <si>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</si>
  <si>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num</t>
    <phoneticPr fontId="1"/>
  </si>
  <si>
    <t>word</t>
    <phoneticPr fontId="1"/>
  </si>
  <si>
    <t>関連語</t>
    <phoneticPr fontId="1"/>
  </si>
  <si>
    <t>語源</t>
    <rPh sb="0" eb="2">
      <t>ゴゲン</t>
    </rPh>
    <phoneticPr fontId="1"/>
  </si>
  <si>
    <t>i1</t>
    <phoneticPr fontId="1"/>
  </si>
  <si>
    <t>i2</t>
    <phoneticPr fontId="1"/>
  </si>
  <si>
    <t>i4</t>
    <phoneticPr fontId="1"/>
  </si>
  <si>
    <t>i5</t>
    <phoneticPr fontId="1"/>
  </si>
  <si>
    <t>h4</t>
    <phoneticPr fontId="1"/>
  </si>
  <si>
    <t>h5</t>
    <phoneticPr fontId="1"/>
  </si>
  <si>
    <t>of</t>
  </si>
  <si>
    <t>fer</t>
  </si>
  <si>
    <t>re</t>
  </si>
  <si>
    <t>quire</t>
  </si>
  <si>
    <t>legal</t>
    <phoneticPr fontId="1"/>
  </si>
  <si>
    <t>in</t>
    <phoneticPr fontId="1"/>
  </si>
  <si>
    <t>related7</t>
    <phoneticPr fontId="1"/>
  </si>
  <si>
    <t>related8</t>
    <phoneticPr fontId="1"/>
  </si>
  <si>
    <t>related9</t>
    <phoneticPr fontId="1"/>
  </si>
  <si>
    <t>related10</t>
    <phoneticPr fontId="1"/>
  </si>
  <si>
    <t>ize</t>
    <phoneticPr fontId="1"/>
  </si>
  <si>
    <t>courage</t>
    <phoneticPr fontId="1"/>
  </si>
  <si>
    <t>ex</t>
    <phoneticPr fontId="1"/>
  </si>
  <si>
    <t>com</t>
    <phoneticPr fontId="1"/>
  </si>
  <si>
    <t>effect</t>
    <phoneticPr fontId="1"/>
  </si>
  <si>
    <t>exist</t>
    <phoneticPr fontId="1"/>
  </si>
  <si>
    <t>search</t>
    <phoneticPr fontId="1"/>
  </si>
  <si>
    <t>environment</t>
    <phoneticPr fontId="1"/>
  </si>
  <si>
    <t>species</t>
    <phoneticPr fontId="1"/>
  </si>
  <si>
    <t>knowledge</t>
    <phoneticPr fontId="1"/>
  </si>
  <si>
    <t>memory</t>
    <phoneticPr fontId="1"/>
  </si>
  <si>
    <t>benefit</t>
    <phoneticPr fontId="1"/>
  </si>
  <si>
    <t>experiment</t>
    <phoneticPr fontId="1"/>
  </si>
  <si>
    <t>article</t>
    <phoneticPr fontId="1"/>
  </si>
  <si>
    <t>focus</t>
    <phoneticPr fontId="1"/>
  </si>
  <si>
    <t>quality</t>
    <phoneticPr fontId="1"/>
  </si>
  <si>
    <t>term</t>
    <phoneticPr fontId="1"/>
  </si>
  <si>
    <t>statement</t>
    <phoneticPr fontId="1"/>
  </si>
  <si>
    <t>material</t>
    <phoneticPr fontId="1"/>
  </si>
  <si>
    <t>community</t>
    <phoneticPr fontId="1"/>
  </si>
  <si>
    <t>technology</t>
    <phoneticPr fontId="1"/>
  </si>
  <si>
    <t>culture</t>
    <phoneticPr fontId="1"/>
  </si>
  <si>
    <t>appropriate</t>
    <phoneticPr fontId="1"/>
  </si>
  <si>
    <t>priate</t>
  </si>
  <si>
    <t>likely</t>
    <phoneticPr fontId="1"/>
  </si>
  <si>
    <t>possible</t>
    <phoneticPr fontId="1"/>
  </si>
  <si>
    <t>individual</t>
    <phoneticPr fontId="1"/>
  </si>
  <si>
    <t>public</t>
    <phoneticPr fontId="1"/>
  </si>
  <si>
    <t>similar</t>
    <phoneticPr fontId="1"/>
  </si>
  <si>
    <t>recent</t>
    <phoneticPr fontId="1"/>
  </si>
  <si>
    <t>patient</t>
    <phoneticPr fontId="1"/>
  </si>
  <si>
    <t>participate</t>
    <phoneticPr fontId="1"/>
  </si>
  <si>
    <t>particular</t>
    <phoneticPr fontId="1"/>
  </si>
  <si>
    <t>physical</t>
    <phoneticPr fontId="1"/>
  </si>
  <si>
    <t>al</t>
    <phoneticPr fontId="1"/>
  </si>
  <si>
    <t>various</t>
    <phoneticPr fontId="1"/>
  </si>
  <si>
    <t>available</t>
    <phoneticPr fontId="1"/>
  </si>
  <si>
    <t>certain</t>
    <phoneticPr fontId="1"/>
  </si>
  <si>
    <t>native</t>
    <phoneticPr fontId="1"/>
  </si>
  <si>
    <t>political</t>
    <phoneticPr fontId="1"/>
  </si>
  <si>
    <t>blank</t>
    <phoneticPr fontId="1"/>
  </si>
  <si>
    <t>ancient</t>
    <phoneticPr fontId="1"/>
  </si>
  <si>
    <t>correct</t>
    <phoneticPr fontId="1"/>
  </si>
  <si>
    <t>despite</t>
    <phoneticPr fontId="1"/>
  </si>
  <si>
    <t>notice</t>
    <phoneticPr fontId="1"/>
  </si>
  <si>
    <t>refer</t>
    <phoneticPr fontId="1"/>
  </si>
  <si>
    <t>approach</t>
    <phoneticPr fontId="1"/>
  </si>
  <si>
    <t>wonder</t>
    <phoneticPr fontId="1"/>
  </si>
  <si>
    <t>imagine</t>
    <phoneticPr fontId="1"/>
  </si>
  <si>
    <t>co</t>
    <phoneticPr fontId="1"/>
  </si>
  <si>
    <t>solve</t>
    <phoneticPr fontId="1"/>
  </si>
  <si>
    <t>occur</t>
    <phoneticPr fontId="1"/>
  </si>
  <si>
    <t>argue</t>
    <phoneticPr fontId="1"/>
  </si>
  <si>
    <t>claim</t>
    <phoneticPr fontId="1"/>
  </si>
  <si>
    <t>advance</t>
    <phoneticPr fontId="1"/>
  </si>
  <si>
    <t>prepare</t>
    <phoneticPr fontId="1"/>
  </si>
  <si>
    <t>gain</t>
    <phoneticPr fontId="1"/>
  </si>
  <si>
    <t>achieve</t>
    <phoneticPr fontId="1"/>
  </si>
  <si>
    <t>establish</t>
    <phoneticPr fontId="1"/>
  </si>
  <si>
    <t>supply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</si>
  <si>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</si>
  <si>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</si>
  <si>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</si>
  <si>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</si>
  <si>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</si>
  <si>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</si>
  <si>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</si>
  <si>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</si>
  <si>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</si>
  <si>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</si>
  <si>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</si>
  <si>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</si>
  <si>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</si>
  <si>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</si>
  <si>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</si>
  <si>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</si>
  <si>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</si>
  <si>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</si>
  <si>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</si>
  <si>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pre</t>
  </si>
  <si>
    <t>vent</t>
  </si>
  <si>
    <t>suffer</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</si>
  <si>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</si>
  <si>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</si>
  <si>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</si>
  <si>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</si>
  <si>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</si>
  <si>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</si>
  <si>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</si>
  <si>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</si>
  <si>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</si>
  <si>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</si>
  <si>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</si>
  <si>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</si>
  <si>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adv</t>
  </si>
  <si>
    <t>damage</t>
  </si>
  <si>
    <t>pact</t>
  </si>
  <si>
    <t>tail</t>
  </si>
  <si>
    <t>cess</t>
  </si>
  <si>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</si>
  <si>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</si>
  <si>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</si>
  <si>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</si>
  <si>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</si>
  <si>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</si>
  <si>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</si>
  <si>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</si>
  <si>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</si>
  <si>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</si>
  <si>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</si>
  <si>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positive</t>
    <phoneticPr fontId="1"/>
  </si>
  <si>
    <t>complex</t>
    <phoneticPr fontId="1"/>
  </si>
  <si>
    <t>current</t>
    <phoneticPr fontId="1"/>
  </si>
  <si>
    <t>mental</t>
    <phoneticPr fontId="1"/>
  </si>
  <si>
    <t>speci</t>
  </si>
  <si>
    <t>fic</t>
  </si>
  <si>
    <t>signi</t>
  </si>
  <si>
    <t>ficant</t>
  </si>
  <si>
    <t>essential</t>
    <phoneticPr fontId="1"/>
  </si>
  <si>
    <t>offic</t>
  </si>
  <si>
    <t>ial</t>
  </si>
  <si>
    <t>financ</t>
  </si>
  <si>
    <t>mobile</t>
    <phoneticPr fontId="1"/>
  </si>
  <si>
    <t>chemic</t>
  </si>
  <si>
    <t>necessary</t>
    <phoneticPr fontId="1"/>
  </si>
  <si>
    <t>eventually</t>
    <phoneticPr fontId="1"/>
  </si>
  <si>
    <t>represent</t>
    <phoneticPr fontId="1"/>
  </si>
  <si>
    <t>dicate</t>
  </si>
  <si>
    <t>attend</t>
    <phoneticPr fontId="1"/>
  </si>
  <si>
    <t>maintain</t>
    <phoneticPr fontId="1"/>
  </si>
  <si>
    <t>vey</t>
  </si>
  <si>
    <t>place</t>
  </si>
  <si>
    <t>duct</t>
  </si>
  <si>
    <t>as</t>
  </si>
  <si>
    <t>sociate</t>
  </si>
  <si>
    <t>attempt</t>
    <phoneticPr fontId="1"/>
  </si>
  <si>
    <t>at</t>
  </si>
  <si>
    <t>promote</t>
    <phoneticPr fontId="1"/>
  </si>
  <si>
    <t>ob</t>
  </si>
  <si>
    <t>serve</t>
  </si>
  <si>
    <t>decrease</t>
    <phoneticPr fontId="1"/>
  </si>
  <si>
    <t>produce</t>
    <phoneticPr fontId="1"/>
  </si>
  <si>
    <t>decide</t>
    <phoneticPr fontId="1"/>
  </si>
  <si>
    <t>offer</t>
    <phoneticPr fontId="1"/>
  </si>
  <si>
    <t>require</t>
    <phoneticPr fontId="1"/>
  </si>
  <si>
    <t>compare</t>
    <phoneticPr fontId="1"/>
  </si>
  <si>
    <t>evidence</t>
    <phoneticPr fontId="1"/>
  </si>
  <si>
    <t>veal</t>
  </si>
  <si>
    <t>flect</t>
  </si>
  <si>
    <t>tract</t>
  </si>
  <si>
    <t>ignore</t>
    <phoneticPr fontId="1"/>
  </si>
  <si>
    <t>fine</t>
  </si>
  <si>
    <t>adapt</t>
    <phoneticPr fontId="1"/>
  </si>
  <si>
    <t>tribute</t>
  </si>
  <si>
    <t>ex</t>
  </si>
  <si>
    <t>change</t>
  </si>
  <si>
    <t>display</t>
    <phoneticPr fontId="1"/>
  </si>
  <si>
    <t>spond</t>
  </si>
  <si>
    <t>doubt</t>
    <phoneticPr fontId="1"/>
  </si>
  <si>
    <t>remove</t>
    <phoneticPr fontId="1"/>
  </si>
  <si>
    <t>sume</t>
  </si>
  <si>
    <t>lax</t>
  </si>
  <si>
    <t>satis</t>
  </si>
  <si>
    <t>fy</t>
  </si>
  <si>
    <t>desire</t>
    <phoneticPr fontId="1"/>
  </si>
  <si>
    <t>succeed</t>
    <phoneticPr fontId="1"/>
  </si>
  <si>
    <t>cept</t>
  </si>
  <si>
    <t>contra</t>
  </si>
  <si>
    <t>st</t>
  </si>
  <si>
    <t>col</t>
  </si>
  <si>
    <t>tent</t>
  </si>
  <si>
    <t>face</t>
  </si>
  <si>
    <t>status</t>
    <phoneticPr fontId="1"/>
  </si>
  <si>
    <t>reward</t>
    <phoneticPr fontId="1"/>
  </si>
  <si>
    <t>flict</t>
  </si>
  <si>
    <t>text</t>
  </si>
  <si>
    <t>bate</t>
  </si>
  <si>
    <t>ba</t>
  </si>
  <si>
    <t>lance</t>
  </si>
  <si>
    <t>ancestor</t>
    <phoneticPr fontId="1"/>
  </si>
  <si>
    <t>gene</t>
    <phoneticPr fontId="1"/>
  </si>
  <si>
    <t>revolution</t>
    <phoneticPr fontId="1"/>
  </si>
  <si>
    <t>gress</t>
  </si>
  <si>
    <t>cognitive</t>
    <phoneticPr fontId="1"/>
  </si>
  <si>
    <t>ideal</t>
    <phoneticPr fontId="1"/>
  </si>
  <si>
    <t>ef</t>
  </si>
  <si>
    <t>ficient</t>
  </si>
  <si>
    <t>universal</t>
    <phoneticPr fontId="1"/>
  </si>
  <si>
    <t>en</t>
  </si>
  <si>
    <t>tire</t>
  </si>
  <si>
    <t>false</t>
  </si>
  <si>
    <t>independent</t>
    <phoneticPr fontId="1"/>
  </si>
  <si>
    <t>actual</t>
    <phoneticPr fontId="1"/>
  </si>
  <si>
    <t>where</t>
  </si>
  <si>
    <t>predict</t>
    <phoneticPr fontId="1"/>
  </si>
  <si>
    <t>e</t>
  </si>
  <si>
    <t>merge</t>
  </si>
  <si>
    <t>able</t>
  </si>
  <si>
    <t>ly</t>
  </si>
  <si>
    <t>gage</t>
  </si>
  <si>
    <t>ad</t>
  </si>
  <si>
    <t>opt</t>
  </si>
  <si>
    <t>pand</t>
  </si>
  <si>
    <t>fuse</t>
  </si>
  <si>
    <t>peat</t>
  </si>
  <si>
    <t>vince</t>
  </si>
  <si>
    <t>call</t>
  </si>
  <si>
    <t>round</t>
  </si>
  <si>
    <t>com</t>
  </si>
  <si>
    <t>bine</t>
  </si>
  <si>
    <t>preciate</t>
  </si>
  <si>
    <t>prin</t>
  </si>
  <si>
    <t>ciple</t>
  </si>
  <si>
    <t>atmo</t>
  </si>
  <si>
    <t>person</t>
  </si>
  <si>
    <t>ity</t>
  </si>
  <si>
    <t>capac</t>
  </si>
  <si>
    <t>fit</t>
  </si>
  <si>
    <t>sident</t>
  </si>
  <si>
    <t>vary</t>
    <phoneticPr fontId="1"/>
  </si>
  <si>
    <t>release</t>
    <phoneticPr fontId="1"/>
  </si>
  <si>
    <t>divide</t>
    <phoneticPr fontId="1"/>
  </si>
  <si>
    <t>judge</t>
    <phoneticPr fontId="1"/>
  </si>
  <si>
    <t>acquire</t>
    <phoneticPr fontId="1"/>
  </si>
  <si>
    <t>consume</t>
    <phoneticPr fontId="1"/>
  </si>
  <si>
    <t>confuse</t>
    <phoneticPr fontId="1"/>
  </si>
  <si>
    <t>select</t>
    <phoneticPr fontId="1"/>
  </si>
  <si>
    <t>evolve</t>
    <phoneticPr fontId="1"/>
  </si>
  <si>
    <t>destroy</t>
    <phoneticPr fontId="1"/>
  </si>
  <si>
    <t>preserve</t>
    <phoneticPr fontId="1"/>
  </si>
  <si>
    <t>organize</t>
    <phoneticPr fontId="1"/>
  </si>
  <si>
    <t>address</t>
    <phoneticPr fontId="1"/>
  </si>
  <si>
    <t>ress</t>
  </si>
  <si>
    <t>extend</t>
    <phoneticPr fontId="1"/>
  </si>
  <si>
    <t>circumstance</t>
    <phoneticPr fontId="1"/>
  </si>
  <si>
    <t>manner</t>
    <phoneticPr fontId="1"/>
  </si>
  <si>
    <t>weal</t>
  </si>
  <si>
    <t>th</t>
  </si>
  <si>
    <t>author</t>
  </si>
  <si>
    <t>sym</t>
  </si>
  <si>
    <t>bol</t>
  </si>
  <si>
    <t>ana</t>
  </si>
  <si>
    <t>lysis</t>
  </si>
  <si>
    <t>補足</t>
    <phoneticPr fontId="1"/>
  </si>
  <si>
    <t>語源</t>
    <phoneticPr fontId="1"/>
  </si>
  <si>
    <t>古フランス語</t>
    <phoneticPr fontId="1"/>
  </si>
  <si>
    <t>dis</t>
  </si>
  <si>
    <t>aster</t>
  </si>
  <si>
    <t>psycho</t>
  </si>
  <si>
    <t>logy</t>
  </si>
  <si>
    <t>cu</t>
  </si>
  <si>
    <t>stom</t>
  </si>
  <si>
    <t>sert</t>
  </si>
  <si>
    <t>curate</t>
  </si>
  <si>
    <t>fundamental</t>
  </si>
  <si>
    <t>arti</t>
  </si>
  <si>
    <t>fici</t>
  </si>
  <si>
    <t>encourage</t>
    <phoneticPr fontId="1"/>
  </si>
  <si>
    <t>ment</t>
  </si>
  <si>
    <t>recognize</t>
    <phoneticPr fontId="1"/>
  </si>
  <si>
    <t>ize</t>
  </si>
  <si>
    <t>blish</t>
  </si>
  <si>
    <t>determine</t>
    <phoneticPr fontId="1"/>
  </si>
  <si>
    <t>ty</t>
  </si>
  <si>
    <t>industry</t>
    <phoneticPr fontId="1"/>
  </si>
  <si>
    <t>feature</t>
    <phoneticPr fontId="1"/>
  </si>
  <si>
    <t>ure</t>
  </si>
  <si>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</si>
  <si>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</si>
  <si>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</si>
  <si>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</si>
  <si>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</si>
  <si>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</si>
  <si>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</si>
  <si>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</si>
  <si>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</si>
  <si>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</si>
  <si>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</si>
  <si>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over</t>
  </si>
  <si>
    <t>all</t>
  </si>
  <si>
    <t>rural</t>
    <phoneticPr fontId="1"/>
  </si>
  <si>
    <t>milit</t>
  </si>
  <si>
    <t>ary</t>
  </si>
  <si>
    <t>ar</t>
  </si>
  <si>
    <t>bio</t>
  </si>
  <si>
    <t>ical</t>
  </si>
  <si>
    <t>constant</t>
    <phoneticPr fontId="1"/>
  </si>
  <si>
    <t>stant</t>
  </si>
  <si>
    <t>visual</t>
    <phoneticPr fontId="1"/>
  </si>
  <si>
    <t>ous</t>
  </si>
  <si>
    <t>convenient</t>
    <phoneticPr fontId="1"/>
  </si>
  <si>
    <t>domest</t>
  </si>
  <si>
    <t>ic</t>
  </si>
  <si>
    <t>typ</t>
  </si>
  <si>
    <t>seas</t>
  </si>
  <si>
    <t>never</t>
  </si>
  <si>
    <t>the</t>
  </si>
  <si>
    <t>less</t>
  </si>
  <si>
    <t>company</t>
    <phoneticPr fontId="1"/>
  </si>
  <si>
    <t>express</t>
    <phoneticPr fontId="1"/>
  </si>
  <si>
    <t>prefer</t>
    <phoneticPr fontId="1"/>
  </si>
  <si>
    <t>apply</t>
    <phoneticPr fontId="1"/>
  </si>
  <si>
    <t>contain</t>
    <phoneticPr fontId="1"/>
  </si>
  <si>
    <t>connect</t>
    <phoneticPr fontId="1"/>
  </si>
  <si>
    <t>decline</t>
    <phoneticPr fontId="1"/>
  </si>
  <si>
    <t>survive</t>
    <phoneticPr fontId="1"/>
  </si>
  <si>
    <t>medium</t>
    <phoneticPr fontId="1"/>
  </si>
  <si>
    <t>hod</t>
  </si>
  <si>
    <t>attitude</t>
    <phoneticPr fontId="1"/>
  </si>
  <si>
    <t>tude</t>
  </si>
  <si>
    <t>academic</t>
    <phoneticPr fontId="1"/>
  </si>
  <si>
    <t>potential</t>
    <phoneticPr fontId="1"/>
  </si>
  <si>
    <t>digital</t>
    <phoneticPr fontId="1"/>
  </si>
  <si>
    <t>novel</t>
    <phoneticPr fontId="1"/>
  </si>
  <si>
    <t>plastic</t>
    <phoneticPr fontId="1"/>
  </si>
  <si>
    <t>identify</t>
    <phoneticPr fontId="1"/>
  </si>
  <si>
    <t>sent</t>
  </si>
  <si>
    <t>associate</t>
    <phoneticPr fontId="1"/>
  </si>
  <si>
    <t>unite</t>
    <phoneticPr fontId="1"/>
  </si>
  <si>
    <t>fashion</t>
    <phoneticPr fontId="1"/>
  </si>
  <si>
    <t>section</t>
    <phoneticPr fontId="1"/>
  </si>
  <si>
    <t>tion</t>
  </si>
  <si>
    <t>audience</t>
    <phoneticPr fontId="1"/>
  </si>
  <si>
    <t>ence</t>
    <phoneticPr fontId="1"/>
  </si>
  <si>
    <t>option</t>
    <phoneticPr fontId="1"/>
  </si>
  <si>
    <t>ion</t>
  </si>
  <si>
    <t>pollution</t>
    <phoneticPr fontId="1"/>
  </si>
  <si>
    <t>traffic</t>
    <phoneticPr fontId="1"/>
  </si>
  <si>
    <t>familiar</t>
    <phoneticPr fontId="1"/>
  </si>
  <si>
    <t>moral</t>
    <phoneticPr fontId="1"/>
  </si>
  <si>
    <t>ordinary</t>
    <phoneticPr fontId="1"/>
  </si>
  <si>
    <t>equal</t>
    <phoneticPr fontId="1"/>
  </si>
  <si>
    <t>false</t>
    <phoneticPr fontId="1"/>
  </si>
  <si>
    <t>willing</t>
    <phoneticPr fontId="1"/>
  </si>
  <si>
    <t>ing</t>
  </si>
  <si>
    <t>urban</t>
    <phoneticPr fontId="1"/>
  </si>
  <si>
    <t>an</t>
  </si>
  <si>
    <t>dge</t>
  </si>
  <si>
    <t>phenomenon</t>
    <phoneticPr fontId="1"/>
  </si>
  <si>
    <t>menon</t>
  </si>
  <si>
    <t>resident</t>
    <phoneticPr fontId="1"/>
  </si>
  <si>
    <t>institution</t>
    <phoneticPr fontId="1"/>
  </si>
  <si>
    <t>campaign</t>
    <phoneticPr fontId="1"/>
  </si>
  <si>
    <t>ign</t>
  </si>
  <si>
    <t>analysis</t>
    <phoneticPr fontId="1"/>
  </si>
  <si>
    <t>version</t>
    <phoneticPr fontId="1"/>
  </si>
  <si>
    <t>custom</t>
    <phoneticPr fontId="1"/>
  </si>
  <si>
    <t>fossil</t>
    <phoneticPr fontId="1"/>
  </si>
  <si>
    <t>il</t>
  </si>
  <si>
    <t>document</t>
    <phoneticPr fontId="1"/>
  </si>
  <si>
    <t>vocabulary</t>
    <phoneticPr fontId="1"/>
  </si>
  <si>
    <t>typical</t>
    <phoneticPr fontId="1"/>
  </si>
  <si>
    <t>monstrate</t>
  </si>
  <si>
    <t>be</t>
  </si>
  <si>
    <t>have</t>
  </si>
  <si>
    <t>mit</t>
  </si>
  <si>
    <t>plore</t>
  </si>
  <si>
    <t>educate</t>
    <phoneticPr fontId="1"/>
  </si>
  <si>
    <t>purchase</t>
    <phoneticPr fontId="1"/>
  </si>
  <si>
    <t>recommend</t>
    <phoneticPr fontId="1"/>
  </si>
  <si>
    <t>generate</t>
    <phoneticPr fontId="1"/>
  </si>
  <si>
    <t>amaze</t>
    <phoneticPr fontId="1"/>
  </si>
  <si>
    <t>a</t>
  </si>
  <si>
    <t>af</t>
  </si>
  <si>
    <t>ford</t>
  </si>
  <si>
    <t>conclude</t>
    <phoneticPr fontId="1"/>
  </si>
  <si>
    <t>advertise</t>
    <phoneticPr fontId="1"/>
  </si>
  <si>
    <t>counter</t>
  </si>
  <si>
    <t>mind</t>
  </si>
  <si>
    <t>locate</t>
    <phoneticPr fontId="1"/>
  </si>
  <si>
    <t>liver</t>
  </si>
  <si>
    <t>perceive</t>
    <phoneticPr fontId="1"/>
  </si>
  <si>
    <t>di</t>
  </si>
  <si>
    <t>stinguish</t>
  </si>
  <si>
    <t>imply</t>
    <phoneticPr fontId="1"/>
  </si>
  <si>
    <t>hand</t>
  </si>
  <si>
    <t>le</t>
  </si>
  <si>
    <t>praise</t>
    <phoneticPr fontId="1"/>
  </si>
  <si>
    <t>peal</t>
  </si>
  <si>
    <t>insist</t>
    <phoneticPr fontId="1"/>
  </si>
  <si>
    <t>compete</t>
    <phoneticPr fontId="1"/>
  </si>
  <si>
    <t>ny</t>
  </si>
  <si>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</si>
  <si>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</si>
  <si>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</si>
  <si>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</si>
  <si>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</si>
  <si>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</si>
  <si>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</si>
  <si>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consist</t>
    <phoneticPr fontId="1"/>
  </si>
  <si>
    <t>instruction</t>
    <phoneticPr fontId="1"/>
  </si>
  <si>
    <t>religion</t>
    <phoneticPr fontId="1"/>
  </si>
  <si>
    <t>neigh</t>
  </si>
  <si>
    <t>bor</t>
  </si>
  <si>
    <t>hood</t>
  </si>
  <si>
    <t>presence</t>
    <phoneticPr fontId="1"/>
  </si>
  <si>
    <t>fidence</t>
  </si>
  <si>
    <t>instrument</t>
    <phoneticPr fontId="1"/>
  </si>
  <si>
    <t>cate</t>
  </si>
  <si>
    <t>gory</t>
  </si>
  <si>
    <t>capital</t>
    <phoneticPr fontId="1"/>
  </si>
  <si>
    <t>out</t>
  </si>
  <si>
    <t>notion</t>
    <phoneticPr fontId="1"/>
  </si>
  <si>
    <t>review</t>
    <phoneticPr fontId="1"/>
  </si>
  <si>
    <t>trait</t>
    <phoneticPr fontId="1"/>
  </si>
  <si>
    <t>diversity</t>
    <phoneticPr fontId="1"/>
  </si>
  <si>
    <t>oc</t>
  </si>
  <si>
    <t>conference</t>
    <phoneticPr fontId="1"/>
  </si>
  <si>
    <t>dia</t>
  </si>
  <si>
    <t>lect</t>
  </si>
  <si>
    <t>proportion</t>
    <phoneticPr fontId="1"/>
  </si>
  <si>
    <t>law</t>
  </si>
  <si>
    <t>yer</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</si>
  <si>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</si>
  <si>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</si>
  <si>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</si>
  <si>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</si>
  <si>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</si>
  <si>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</si>
  <si>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</si>
  <si>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</si>
  <si>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</si>
  <si>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</si>
  <si>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numer</t>
  </si>
  <si>
    <t>wide</t>
  </si>
  <si>
    <t>suf</t>
  </si>
  <si>
    <t>proper</t>
    <phoneticPr fontId="1"/>
  </si>
  <si>
    <t>lingu</t>
  </si>
  <si>
    <t>ist</t>
  </si>
  <si>
    <t>annu</t>
  </si>
  <si>
    <t>tempor</t>
  </si>
  <si>
    <t>contrary</t>
    <phoneticPr fontId="1"/>
  </si>
  <si>
    <t>strict</t>
    <phoneticPr fontId="1"/>
  </si>
  <si>
    <t>civ</t>
  </si>
  <si>
    <t>unknown</t>
    <phoneticPr fontId="1"/>
  </si>
  <si>
    <t>superi</t>
  </si>
  <si>
    <t>or</t>
  </si>
  <si>
    <t>sensit</t>
  </si>
  <si>
    <t>viol</t>
  </si>
  <si>
    <t>ent</t>
  </si>
  <si>
    <t>virtual</t>
    <phoneticPr fontId="1"/>
  </si>
  <si>
    <t>regardless</t>
    <phoneticPr fontId="1"/>
  </si>
  <si>
    <t>cruc</t>
  </si>
  <si>
    <t>some</t>
  </si>
  <si>
    <t>what</t>
  </si>
  <si>
    <t>concentrate</t>
    <phoneticPr fontId="1"/>
  </si>
  <si>
    <t>centrate</t>
  </si>
  <si>
    <t>nounce</t>
  </si>
  <si>
    <t>rise</t>
  </si>
  <si>
    <t>interpret</t>
    <phoneticPr fontId="1"/>
  </si>
  <si>
    <t>criticize</t>
    <phoneticPr fontId="1"/>
  </si>
  <si>
    <t>obtain</t>
    <phoneticPr fontId="1"/>
  </si>
  <si>
    <t>ensure</t>
    <phoneticPr fontId="1"/>
  </si>
  <si>
    <t>oppose</t>
    <phoneticPr fontId="1"/>
  </si>
  <si>
    <t>differ</t>
    <phoneticPr fontId="1"/>
  </si>
  <si>
    <t>emphasize</t>
    <phoneticPr fontId="1"/>
  </si>
  <si>
    <t>employ</t>
    <phoneticPr fontId="1"/>
  </si>
  <si>
    <t>credit</t>
    <phoneticPr fontId="1"/>
  </si>
  <si>
    <t>transform</t>
    <phoneticPr fontId="1"/>
  </si>
  <si>
    <t>construct</t>
    <phoneticPr fontId="1"/>
  </si>
  <si>
    <t>gret</t>
  </si>
  <si>
    <t>ter</t>
  </si>
  <si>
    <t>ab</t>
  </si>
  <si>
    <t>sorb</t>
  </si>
  <si>
    <t>point</t>
  </si>
  <si>
    <t>cure</t>
    <phoneticPr fontId="1"/>
  </si>
  <si>
    <t>trans</t>
  </si>
  <si>
    <t>port</t>
  </si>
  <si>
    <t>日本語でも使われるアカウントをバンされる（アカウント使用を禁止する）と関連させて覚える。</t>
  </si>
  <si>
    <t>cover</t>
  </si>
  <si>
    <t>manufacture</t>
    <phoneticPr fontId="1"/>
  </si>
  <si>
    <t>inter</t>
  </si>
  <si>
    <t>act</t>
  </si>
  <si>
    <t>just</t>
  </si>
  <si>
    <t>confirm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</si>
  <si>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</si>
  <si>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</si>
  <si>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</si>
  <si>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</si>
  <si>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</si>
  <si>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</si>
  <si>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</si>
  <si>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</si>
  <si>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</si>
  <si>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</si>
  <si>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</si>
  <si>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</si>
  <si>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</si>
  <si>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</si>
  <si>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age</t>
  </si>
  <si>
    <t>order</t>
  </si>
  <si>
    <t>depression</t>
    <phoneticPr fontId="1"/>
  </si>
  <si>
    <t>press</t>
  </si>
  <si>
    <t>barr</t>
  </si>
  <si>
    <t>ier</t>
  </si>
  <si>
    <t>disadvantage</t>
    <phoneticPr fontId="1"/>
  </si>
  <si>
    <t>ion</t>
    <phoneticPr fontId="1"/>
  </si>
  <si>
    <t>motionはmoveの名詞と覚えればよい。</t>
    <rPh sb="12" eb="14">
      <t>メイシ</t>
    </rPh>
    <rPh sb="15" eb="16">
      <t>オボ</t>
    </rPh>
    <phoneticPr fontId="1"/>
  </si>
  <si>
    <t>routine</t>
    <phoneticPr fontId="1"/>
  </si>
  <si>
    <t>ine</t>
  </si>
  <si>
    <t>discipline</t>
    <phoneticPr fontId="1"/>
  </si>
  <si>
    <t>hypo</t>
  </si>
  <si>
    <t>physician</t>
    <phoneticPr fontId="1"/>
  </si>
  <si>
    <t>ian</t>
  </si>
  <si>
    <t>client</t>
    <phoneticPr fontId="1"/>
  </si>
  <si>
    <t>statistics</t>
    <phoneticPr fontId="1"/>
  </si>
  <si>
    <t>ics</t>
  </si>
  <si>
    <t>ingredient</t>
    <phoneticPr fontId="1"/>
  </si>
  <si>
    <t>ent</t>
    <phoneticPr fontId="1"/>
  </si>
  <si>
    <t>contract</t>
    <phoneticPr fontId="1"/>
  </si>
  <si>
    <t>wel</t>
  </si>
  <si>
    <t>prime</t>
    <phoneticPr fontId="1"/>
  </si>
  <si>
    <t>curi</t>
  </si>
  <si>
    <t>dramat</t>
  </si>
  <si>
    <t>tinct</t>
  </si>
  <si>
    <t>anx</t>
  </si>
  <si>
    <t>ious</t>
  </si>
  <si>
    <t>colony</t>
    <phoneticPr fontId="1"/>
  </si>
  <si>
    <t>vital</t>
    <phoneticPr fontId="1"/>
  </si>
  <si>
    <t>conventional</t>
    <phoneticPr fontId="1"/>
  </si>
  <si>
    <t>abstract</t>
    <phoneticPr fontId="1"/>
  </si>
  <si>
    <t>minor</t>
    <phoneticPr fontId="1"/>
  </si>
  <si>
    <t>extraordinary</t>
    <phoneticPr fontId="1"/>
  </si>
  <si>
    <t>visible</t>
    <phoneticPr fontId="1"/>
  </si>
  <si>
    <t>unexpected</t>
    <phoneticPr fontId="1"/>
  </si>
  <si>
    <t>ethn</t>
  </si>
  <si>
    <t>latt</t>
  </si>
  <si>
    <t>er</t>
  </si>
  <si>
    <t>hance</t>
  </si>
  <si>
    <t>agree</t>
  </si>
  <si>
    <t>transfer</t>
    <phoneticPr fontId="1"/>
  </si>
  <si>
    <t>suade</t>
  </si>
  <si>
    <t>日本語で使われるレンタル（お金を払って借りる）と関連させて覚える。</t>
  </si>
  <si>
    <t>日本語でも使われる動物のブリーダー（繁殖させて育てる人）と関連させて覚える。</t>
  </si>
  <si>
    <t>vest</t>
  </si>
  <si>
    <t>tach</t>
  </si>
  <si>
    <t>日本語でも使われるストレッチする（筋肉を伸ばす）やストレッチ素材（伸びる素材）などと関連させて覚える。</t>
  </si>
  <si>
    <t>turb</t>
  </si>
  <si>
    <t>up</t>
  </si>
  <si>
    <t>set</t>
  </si>
  <si>
    <t>moni</t>
  </si>
  <si>
    <t>tor</t>
  </si>
  <si>
    <t>日本語でも使われるモニター（監視映像を映すモニター、品質チェックする人）と関連させて覚える。</t>
  </si>
  <si>
    <t>wit</t>
  </si>
  <si>
    <t>ness</t>
  </si>
  <si>
    <t>burd</t>
  </si>
  <si>
    <t>related15</t>
    <phoneticPr fontId="1"/>
  </si>
  <si>
    <t>related16</t>
    <phoneticPr fontId="1"/>
  </si>
  <si>
    <t>related17</t>
    <phoneticPr fontId="1"/>
  </si>
  <si>
    <t>ward</t>
  </si>
  <si>
    <t>ance</t>
  </si>
  <si>
    <t>日本語でも使われるフレーム（枠）と関連させて覚える。</t>
  </si>
  <si>
    <t>shel</t>
  </si>
  <si>
    <t>terri</t>
  </si>
  <si>
    <t>tory</t>
  </si>
  <si>
    <t>bound</t>
  </si>
  <si>
    <t>dat</t>
  </si>
  <si>
    <t>verb</t>
  </si>
  <si>
    <t>sophist</t>
  </si>
  <si>
    <t>ate</t>
  </si>
  <si>
    <t>d</t>
  </si>
  <si>
    <t>permanent</t>
  </si>
  <si>
    <t>ful</t>
  </si>
  <si>
    <t>guarant</t>
  </si>
  <si>
    <t>ee</t>
  </si>
  <si>
    <t>原子炉の核燃料が溶けて落ちるメルトダウンと関連させて覚える。</t>
  </si>
  <si>
    <t>em</t>
  </si>
  <si>
    <t>tect</t>
  </si>
  <si>
    <t>isol</t>
  </si>
  <si>
    <t>haust</t>
  </si>
  <si>
    <t>ann</t>
  </si>
  <si>
    <t>oy</t>
  </si>
  <si>
    <t>mire</t>
  </si>
  <si>
    <t>clare</t>
  </si>
  <si>
    <t>se</t>
  </si>
  <si>
    <t>cure</t>
  </si>
  <si>
    <t>test</t>
  </si>
  <si>
    <t>wis</t>
  </si>
  <si>
    <t>dom</t>
  </si>
  <si>
    <t>literacy</t>
    <phoneticPr fontId="1"/>
  </si>
  <si>
    <t>litera</t>
  </si>
  <si>
    <t>cy</t>
  </si>
  <si>
    <t>heritage</t>
    <phoneticPr fontId="1"/>
  </si>
  <si>
    <t>miss</t>
  </si>
  <si>
    <t>licens</t>
  </si>
  <si>
    <t>lay</t>
  </si>
  <si>
    <t>prote</t>
  </si>
  <si>
    <t>profession</t>
    <phoneticPr fontId="1"/>
  </si>
  <si>
    <t>fess</t>
  </si>
  <si>
    <t>dit</t>
  </si>
  <si>
    <t>数学の行列の「行」もrowと言う（列はcolomn）。</t>
  </si>
  <si>
    <t>sacri</t>
  </si>
  <si>
    <t>fice</t>
  </si>
  <si>
    <t>liqu</t>
  </si>
  <si>
    <t>id</t>
  </si>
  <si>
    <t>tice</t>
  </si>
  <si>
    <t>guide</t>
  </si>
  <si>
    <t>line</t>
  </si>
  <si>
    <t>sect</t>
  </si>
  <si>
    <t>us</t>
  </si>
  <si>
    <t>cor</t>
  </si>
  <si>
    <t>現代英語</t>
    <rPh sb="0" eb="4">
      <t>ゲンダイエイゴ</t>
    </rPh>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</si>
  <si>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</si>
  <si>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</si>
  <si>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</si>
  <si>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</si>
  <si>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</si>
  <si>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</si>
  <si>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</si>
  <si>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</si>
  <si>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</si>
  <si>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</si>
  <si>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</si>
  <si>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</si>
  <si>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</si>
  <si>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</si>
  <si>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</si>
  <si>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</si>
  <si>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</si>
  <si>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</si>
  <si>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</si>
  <si>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</si>
  <si>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</si>
  <si>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</si>
  <si>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</si>
  <si>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</si>
  <si>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</si>
  <si>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</si>
  <si>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</si>
  <si>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</si>
  <si>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</si>
  <si>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</si>
  <si>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</si>
  <si>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</si>
  <si>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theory</t>
    <phoneticPr fontId="1"/>
  </si>
  <si>
    <t>vid</t>
  </si>
  <si>
    <t>ence</t>
  </si>
  <si>
    <t>publ</t>
  </si>
  <si>
    <t>sim</t>
  </si>
  <si>
    <t>ilar</t>
  </si>
  <si>
    <t>ma</t>
  </si>
  <si>
    <t>jor</t>
  </si>
  <si>
    <t>pati</t>
  </si>
  <si>
    <t>var</t>
  </si>
  <si>
    <t>vail</t>
  </si>
  <si>
    <t>nat</t>
  </si>
  <si>
    <t>polit</t>
  </si>
  <si>
    <t>anc</t>
  </si>
  <si>
    <t>ient</t>
  </si>
  <si>
    <t>no</t>
  </si>
  <si>
    <t>bud</t>
  </si>
  <si>
    <t>et</t>
  </si>
  <si>
    <t>merg</t>
  </si>
  <si>
    <t>ency</t>
  </si>
  <si>
    <t>minis</t>
  </si>
  <si>
    <t>candid</t>
  </si>
  <si>
    <t>discipl</t>
  </si>
  <si>
    <t>sis</t>
  </si>
  <si>
    <t>cli</t>
  </si>
  <si>
    <t>ordin</t>
  </si>
  <si>
    <t>pect</t>
  </si>
  <si>
    <t>ed</t>
  </si>
  <si>
    <t>stimul</t>
  </si>
  <si>
    <t>illustr</t>
  </si>
  <si>
    <t>vestig</t>
  </si>
  <si>
    <t>pto</t>
  </si>
  <si>
    <t>m</t>
  </si>
  <si>
    <t>ge</t>
  </si>
  <si>
    <t>ry</t>
  </si>
  <si>
    <t>pat</t>
  </si>
  <si>
    <t>ue</t>
  </si>
  <si>
    <t>lev</t>
  </si>
  <si>
    <t>ant</t>
  </si>
  <si>
    <t>man</t>
  </si>
  <si>
    <t>rand</t>
  </si>
  <si>
    <t>om</t>
  </si>
  <si>
    <t>cour</t>
  </si>
  <si>
    <t>lapse</t>
  </si>
  <si>
    <t>herit</t>
  </si>
  <si>
    <t>art</t>
  </si>
  <si>
    <t>class</t>
  </si>
  <si>
    <t>feder</t>
  </si>
  <si>
    <t>un</t>
  </si>
  <si>
    <t>famili</t>
  </si>
  <si>
    <t>mar</t>
  </si>
  <si>
    <t>par</t>
  </si>
  <si>
    <t>guilt</t>
  </si>
  <si>
    <t>y</t>
  </si>
  <si>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</si>
  <si>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</si>
  <si>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</si>
  <si>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</si>
  <si>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</si>
  <si>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</si>
  <si>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</si>
  <si>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</si>
  <si>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</si>
  <si>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</si>
  <si>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</si>
  <si>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</si>
  <si>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</si>
  <si>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</si>
  <si>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</si>
  <si>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</si>
  <si>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</si>
  <si>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</si>
  <si>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</si>
  <si>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</si>
  <si>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</si>
  <si>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</si>
  <si>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</si>
  <si>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</si>
  <si>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</si>
  <si>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</si>
  <si>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</si>
  <si>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</si>
  <si>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</si>
  <si>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</si>
  <si>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</si>
  <si>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</si>
  <si>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</si>
  <si>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</si>
  <si>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</si>
  <si>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</si>
  <si>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</si>
  <si>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</si>
  <si>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</si>
  <si>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</si>
  <si>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</si>
  <si>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</si>
  <si>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</si>
  <si>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</si>
  <si>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</si>
  <si>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</si>
  <si>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</si>
  <si>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</si>
  <si>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</si>
  <si>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</si>
  <si>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</si>
  <si>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</si>
  <si>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</si>
  <si>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</si>
  <si>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</si>
  <si>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</si>
  <si>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</si>
  <si>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</si>
  <si>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</si>
  <si>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</si>
  <si>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</si>
  <si>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</si>
  <si>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</si>
  <si>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</si>
  <si>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</si>
  <si>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</si>
  <si>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</si>
  <si>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</si>
  <si>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</si>
  <si>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</si>
  <si>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</si>
  <si>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</si>
  <si>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</si>
  <si>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</si>
  <si>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</si>
  <si>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</si>
  <si>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</si>
  <si>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</si>
  <si>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</si>
  <si>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</si>
  <si>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</si>
  <si>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</si>
  <si>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</si>
  <si>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</si>
  <si>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</si>
  <si>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</si>
  <si>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</si>
  <si>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</si>
  <si>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</si>
  <si>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</si>
  <si>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</si>
  <si>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</si>
  <si>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</si>
  <si>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</si>
  <si>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</si>
  <si>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</si>
  <si>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</si>
  <si>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</si>
  <si>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</si>
  <si>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</si>
  <si>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</si>
  <si>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</si>
  <si>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</si>
  <si>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</si>
  <si>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</si>
  <si>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</si>
  <si>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</si>
  <si>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</si>
  <si>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</si>
  <si>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</si>
  <si>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</si>
  <si>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</si>
  <si>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</si>
  <si>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</si>
  <si>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</si>
  <si>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</si>
  <si>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</si>
  <si>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</si>
  <si>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</si>
  <si>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</si>
  <si>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</si>
  <si>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</si>
  <si>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</si>
  <si>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</si>
  <si>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</si>
  <si>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</si>
  <si>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</si>
  <si>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</si>
  <si>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</si>
  <si>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</si>
  <si>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</si>
  <si>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</si>
  <si>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</si>
  <si>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</si>
  <si>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</si>
  <si>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</si>
  <si>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</si>
  <si>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</si>
  <si>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</si>
  <si>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</si>
  <si>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</si>
  <si>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</si>
  <si>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</si>
  <si>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</si>
  <si>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causa（原因, 理由）</t>
    <rPh sb="6" eb="8">
      <t>ゲンイン</t>
    </rPh>
    <rPh sb="10" eb="12">
      <t>リユウ</t>
    </rPh>
    <phoneticPr fontId="1"/>
  </si>
  <si>
    <t>cause（原因, 理由）</t>
    <rPh sb="6" eb="8">
      <t>ゲンイン</t>
    </rPh>
    <rPh sb="10" eb="12">
      <t>リユウ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</si>
  <si>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</si>
  <si>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</si>
  <si>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</si>
  <si>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</si>
  <si>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</si>
  <si>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</si>
  <si>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</si>
  <si>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</si>
  <si>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</si>
  <si>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</si>
  <si>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</si>
  <si>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</si>
  <si>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</si>
  <si>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</si>
  <si>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1710年から
立場, 状況</t>
    <rPh sb="4" eb="5">
      <t>ネン</t>
    </rPh>
    <rPh sb="8" eb="10">
      <t>タチバ</t>
    </rPh>
    <rPh sb="12" eb="14">
      <t>ジョウキョウ</t>
    </rPh>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</si>
  <si>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</si>
  <si>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</si>
  <si>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</si>
  <si>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</si>
  <si>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</si>
  <si>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</si>
  <si>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</si>
  <si>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</si>
  <si>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</si>
  <si>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</si>
  <si>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</si>
  <si>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</si>
  <si>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</si>
  <si>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</si>
  <si>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</si>
  <si>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</si>
  <si>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</si>
  <si>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</si>
  <si>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</si>
  <si>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</si>
  <si>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</si>
  <si>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古英語</t>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</si>
  <si>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</si>
  <si>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</si>
  <si>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</si>
  <si>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</si>
  <si>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</si>
  <si>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</si>
  <si>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</si>
  <si>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</si>
  <si>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</si>
  <si>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</si>
  <si>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</si>
  <si>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</si>
  <si>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</si>
  <si>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</si>
  <si>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</si>
  <si>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</si>
  <si>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</si>
  <si>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</si>
  <si>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</si>
  <si>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</si>
  <si>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</si>
  <si>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</si>
  <si>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</si>
  <si>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</si>
  <si>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</si>
  <si>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</si>
  <si>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</si>
  <si>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</si>
  <si>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</si>
  <si>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</si>
  <si>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</si>
  <si>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</si>
  <si>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</si>
  <si>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</si>
  <si>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</si>
  <si>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</si>
  <si>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</si>
  <si>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</si>
  <si>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</si>
  <si>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</si>
  <si>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</si>
  <si>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</si>
  <si>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</si>
  <si>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</si>
  <si>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</si>
  <si>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</si>
  <si>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</si>
  <si>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</si>
  <si>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</si>
  <si>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</si>
  <si>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</si>
  <si>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</si>
  <si>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</si>
  <si>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</si>
  <si>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</si>
  <si>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</si>
  <si>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</si>
  <si>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</si>
  <si>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</si>
  <si>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</si>
  <si>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</si>
  <si>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</si>
  <si>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</si>
  <si>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</si>
  <si>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</si>
  <si>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</si>
  <si>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</si>
  <si>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</si>
  <si>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</si>
  <si>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</si>
  <si>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</si>
  <si>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</si>
  <si>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</si>
  <si>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</si>
  <si>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</si>
  <si>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</si>
  <si>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</si>
  <si>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</si>
  <si>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</si>
  <si>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</si>
  <si>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</si>
  <si>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</si>
  <si>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</si>
  <si>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</si>
  <si>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</si>
  <si>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</si>
  <si>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</si>
  <si>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</si>
  <si>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</si>
  <si>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</si>
  <si>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</si>
  <si>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</si>
  <si>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</si>
  <si>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</si>
  <si>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</si>
  <si>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</si>
  <si>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</si>
  <si>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</si>
  <si>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</si>
  <si>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</si>
  <si>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</si>
  <si>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</si>
  <si>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</si>
  <si>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</si>
  <si>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</si>
  <si>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</si>
  <si>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</si>
  <si>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</si>
  <si>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</si>
  <si>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</si>
  <si>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</si>
  <si>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</si>
  <si>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</si>
  <si>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</si>
  <si>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</si>
  <si>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</si>
  <si>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</si>
  <si>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</si>
  <si>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</si>
  <si>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</si>
  <si>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</si>
  <si>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</si>
  <si>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</si>
  <si>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</si>
  <si>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印欧祖語</t>
    <phoneticPr fontId="1"/>
  </si>
  <si>
    <t>*gene-（産む, 生み出す）</t>
    <rPh sb="7" eb="8">
      <t>ウ</t>
    </rPh>
    <rPh sb="11" eb="12">
      <t>ウ</t>
    </rPh>
    <rPh sb="13" eb="14">
      <t>ダ</t>
    </rPh>
    <phoneticPr fontId="1"/>
  </si>
  <si>
    <t>gnasci（生まれる）</t>
    <rPh sb="7" eb="8">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</si>
  <si>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</si>
  <si>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</si>
  <si>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</si>
  <si>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</si>
  <si>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</si>
  <si>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*sta-（立つ, 固定する）</t>
    <rPh sb="6" eb="7">
      <t>タ</t>
    </rPh>
    <rPh sb="10" eb="12">
      <t>コテイ</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</si>
  <si>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</si>
  <si>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</si>
  <si>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</si>
  <si>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</si>
  <si>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</si>
  <si>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</si>
  <si>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</si>
  <si>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</si>
  <si>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</si>
  <si>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</si>
  <si>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</si>
  <si>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</si>
  <si>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</si>
  <si>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</si>
  <si>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</si>
  <si>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</si>
  <si>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</si>
  <si>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</si>
  <si>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</si>
  <si>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</si>
  <si>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</si>
  <si>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</si>
  <si>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</si>
  <si>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</si>
  <si>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15世紀半ば
審議や判断のために権限ある者に付託する
&lt;span class="spacer"&gt;&lt;/span&gt;1600年頃
情報を得るために（人を）書物などに向ける
参照する</t>
    <rPh sb="59" eb="61">
      <t>ネンコロ</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</si>
  <si>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</si>
  <si>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</si>
  <si>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</si>
  <si>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</si>
  <si>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wundrian（驚く, 不思議に思う）</t>
    <rPh sb="9" eb="10">
      <t>オドロ</t>
    </rPh>
    <rPh sb="13" eb="16">
      <t>フシギ</t>
    </rPh>
    <rPh sb="17" eb="18">
      <t>オモ</t>
    </rPh>
    <phoneticPr fontId="1"/>
  </si>
  <si>
    <t>wondren（驚く, 不思議に思う）</t>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</si>
  <si>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</si>
  <si>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</si>
  <si>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</si>
  <si>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</si>
  <si>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</si>
  <si>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</si>
  <si>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</si>
  <si>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</si>
  <si>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</si>
  <si>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</si>
  <si>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</si>
  <si>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</si>
  <si>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</si>
  <si>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</si>
  <si>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</si>
  <si>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</si>
  <si>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</si>
  <si>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</si>
  <si>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</si>
  <si>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</si>
  <si>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</si>
  <si>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</si>
  <si>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</si>
  <si>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</si>
  <si>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</si>
  <si>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</si>
  <si>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</si>
  <si>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</si>
  <si>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</si>
  <si>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</si>
  <si>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</si>
  <si>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</si>
  <si>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</si>
  <si>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</si>
  <si>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</si>
  <si>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</si>
  <si>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</si>
  <si>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</si>
  <si>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</si>
  <si>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</si>
  <si>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</si>
  <si>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</si>
  <si>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*waidanjan（狩る, 採集する）</t>
    <phoneticPr fontId="1"/>
  </si>
  <si>
    <t>gaaignier（稼ぐ, 獲得する）</t>
    <rPh sb="10" eb="11">
      <t>カセ</t>
    </rPh>
    <rPh sb="14" eb="16">
      <t>カクトク</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</si>
  <si>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</si>
  <si>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</si>
  <si>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</si>
  <si>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</si>
  <si>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</si>
  <si>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</si>
  <si>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</si>
  <si>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</si>
  <si>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</si>
  <si>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</si>
  <si>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</si>
  <si>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</si>
  <si>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</si>
  <si>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</si>
  <si>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</si>
  <si>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</si>
  <si>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</si>
  <si>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</si>
  <si>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</si>
  <si>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</si>
  <si>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</si>
  <si>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</si>
  <si>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</si>
  <si>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</si>
  <si>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</si>
  <si>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</si>
  <si>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</si>
  <si>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</si>
  <si>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</si>
  <si>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</si>
  <si>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</si>
  <si>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</si>
  <si>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</si>
  <si>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</si>
  <si>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</si>
  <si>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1520年代
情報などを伝える
感情などを他者に伝達する</t>
    <rPh sb="4" eb="6">
      <t>ネンダイ</t>
    </rPh>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</si>
  <si>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</si>
  <si>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</si>
  <si>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</si>
  <si>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</si>
  <si>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</si>
  <si>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</si>
  <si>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</si>
  <si>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</si>
  <si>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</si>
  <si>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</si>
  <si>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</si>
  <si>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</si>
  <si>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</si>
  <si>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</si>
  <si>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</si>
  <si>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</si>
  <si>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</si>
  <si>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</si>
  <si>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</si>
  <si>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</si>
  <si>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</si>
  <si>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</si>
  <si>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</si>
  <si>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</si>
  <si>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</si>
  <si>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</si>
  <si>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</si>
  <si>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</si>
  <si>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</si>
  <si>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</si>
  <si>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</si>
  <si>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</si>
  <si>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</si>
  <si>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</si>
  <si>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</si>
  <si>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</si>
  <si>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</si>
  <si>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</si>
  <si>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</si>
  <si>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</si>
  <si>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</si>
  <si>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</si>
  <si>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</si>
  <si>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</si>
  <si>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</si>
  <si>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</si>
  <si>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</si>
  <si>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</si>
  <si>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</si>
  <si>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</si>
  <si>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</si>
  <si>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</si>
  <si>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</si>
  <si>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</si>
  <si>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</si>
  <si>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com（共に）+putare（計算する）
computare（数える, 合計する）</t>
    <phoneticPr fontId="1"/>
  </si>
  <si>
    <t>computus（計算）</t>
    <phoneticPr fontId="1"/>
  </si>
  <si>
    <t>a（～へ）+cont（計算）
acont（勘定）</t>
    <rPh sb="11" eb="13">
      <t>ケイサン</t>
    </rPh>
    <phoneticPr fontId="1"/>
  </si>
  <si>
    <t>trade（道, 進路）</t>
    <rPh sb="6" eb="7">
      <t>ミチ</t>
    </rPh>
    <rPh sb="9" eb="11">
      <t>シンロ</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</si>
  <si>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</si>
  <si>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</si>
  <si>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</si>
  <si>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</si>
  <si>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</si>
  <si>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</si>
  <si>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</si>
  <si>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</si>
  <si>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</si>
  <si>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</si>
  <si>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</si>
  <si>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</si>
  <si>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</si>
  <si>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</si>
  <si>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</si>
  <si>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</si>
  <si>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</si>
  <si>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</si>
  <si>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</si>
  <si>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</si>
  <si>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</si>
  <si>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</si>
  <si>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</si>
  <si>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</si>
  <si>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</si>
  <si>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</si>
  <si>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</si>
  <si>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</si>
  <si>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</si>
  <si>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</si>
  <si>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</si>
  <si>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</si>
  <si>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</si>
  <si>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</si>
  <si>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</si>
  <si>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</si>
  <si>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</si>
  <si>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</si>
  <si>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</si>
  <si>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</si>
  <si>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</si>
  <si>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</si>
  <si>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</si>
  <si>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ade</t>
  </si>
  <si>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</si>
  <si>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</si>
  <si>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14世紀後期
&lt;span class="obsolete"&gt;元の場所や状態に戻す（現在は廃用）&lt;/span&gt;
減らす</t>
    <rPh sb="1" eb="3">
      <t>コウキモトバショジョウタイモドゲンザイハイヨウヘ</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</si>
  <si>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</si>
  <si>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</si>
  <si>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</si>
  <si>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</si>
  <si>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</si>
  <si>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1520年代
表現の仕方, 言い回し
2語以上で意味をなす句</t>
    <rPh sb="7" eb="9">
      <t>ヒョウゲン</t>
    </rPh>
    <rPh sb="10" eb="12">
      <t>シカタ</t>
    </rPh>
    <rPh sb="14" eb="15">
      <t>イ</t>
    </rPh>
    <rPh sb="16" eb="17">
      <t>マワ</t>
    </rPh>
    <rPh sb="29" eb="30">
      <t>ク</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</si>
  <si>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</si>
  <si>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</si>
  <si>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</si>
  <si>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</si>
  <si>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</si>
  <si>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</si>
  <si>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</si>
  <si>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</si>
  <si>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</si>
  <si>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</si>
  <si>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</si>
  <si>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</si>
  <si>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</si>
  <si>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</si>
  <si>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</si>
  <si>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</si>
  <si>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</si>
  <si>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faiture（行為, 形態, 顔つき）</t>
    <phoneticPr fontId="1"/>
  </si>
  <si>
    <t>feture</t>
    <phoneticPr fontId="1"/>
  </si>
  <si>
    <t>1690年代
物事を特徴づける部分</t>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</si>
  <si>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</si>
  <si>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</si>
  <si>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acces（襲撃, 攻撃, 病気の発症）</t>
    <phoneticPr fontId="1"/>
  </si>
  <si>
    <t>1600年頃
入口</t>
    <rPh sb="4" eb="6">
      <t>ネンコロ</t>
    </rPh>
    <rPh sb="7" eb="9">
      <t>イリグチ</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</si>
  <si>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</si>
  <si>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</si>
  <si>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</si>
  <si>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</si>
  <si>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</si>
  <si>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</si>
  <si>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</si>
  <si>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</si>
  <si>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</si>
  <si>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</si>
  <si>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</si>
  <si>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</si>
  <si>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</si>
  <si>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</si>
  <si>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</si>
  <si>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</si>
  <si>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</si>
  <si>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</si>
  <si>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</si>
  <si>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</si>
  <si>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</si>
  <si>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</si>
  <si>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</si>
  <si>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in（近くに）+stare（立つ）
instare（近くに立つ, 切迫する）</t>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</si>
  <si>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</si>
  <si>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</si>
  <si>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</si>
  <si>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</si>
  <si>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</si>
  <si>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</si>
  <si>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</si>
  <si>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</si>
  <si>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</si>
  <si>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</si>
  <si>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</si>
  <si>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</si>
  <si>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</si>
  <si>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</si>
  <si>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</si>
  <si>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</si>
  <si>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</si>
  <si>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mens（心）</t>
    <phoneticPr fontId="1"/>
  </si>
  <si>
    <t>15世紀初頭
心の, 精神の</t>
    <rPh sb="2" eb="4">
      <t>セイキ</t>
    </rPh>
    <rPh sb="4" eb="6">
      <t>ショトウ</t>
    </rPh>
    <rPh sb="7" eb="8">
      <t>ココロ</t>
    </rPh>
    <rPh sb="11" eb="13">
      <t>セイシン</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</si>
  <si>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</si>
  <si>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</si>
  <si>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</si>
  <si>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</si>
  <si>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</si>
  <si>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</si>
  <si>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esse（存在する）</t>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</si>
  <si>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</si>
  <si>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</si>
  <si>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</si>
  <si>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</si>
  <si>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</si>
  <si>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</si>
  <si>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</si>
  <si>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</si>
  <si>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</si>
  <si>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</si>
  <si>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</si>
  <si>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aware（気づいて, 注意して）</t>
    <rPh sb="6" eb="7">
      <t>キ</t>
    </rPh>
    <rPh sb="12" eb="14">
      <t>チュウイ</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</si>
  <si>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</si>
  <si>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</si>
  <si>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</si>
  <si>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</si>
  <si>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</si>
  <si>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</si>
  <si>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</si>
  <si>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</si>
  <si>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</si>
  <si>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</si>
  <si>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</si>
  <si>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</si>
  <si>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</si>
  <si>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</si>
  <si>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</si>
  <si>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</si>
  <si>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</si>
  <si>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</si>
  <si>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</si>
  <si>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</si>
  <si>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</si>
  <si>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</si>
  <si>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アラビア語</t>
    <phoneticPr fontId="1"/>
  </si>
  <si>
    <t>alkimia（錬金術）</t>
    <phoneticPr fontId="1"/>
  </si>
  <si>
    <t>13世紀
alquemie（錬金術）</t>
    <rPh sb="2" eb="4">
      <t>セイキ</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</si>
  <si>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</si>
  <si>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</si>
  <si>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</si>
  <si>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</si>
  <si>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</si>
  <si>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</si>
  <si>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</si>
  <si>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</si>
  <si>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</si>
  <si>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</si>
  <si>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</si>
  <si>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</si>
  <si>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</si>
  <si>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</si>
  <si>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</si>
  <si>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</si>
  <si>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</si>
  <si>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</si>
  <si>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</si>
  <si>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</si>
  <si>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</si>
  <si>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</si>
  <si>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</si>
  <si>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</si>
  <si>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</si>
  <si>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</si>
  <si>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</si>
  <si>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</si>
  <si>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</si>
  <si>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</si>
  <si>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</si>
  <si>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</si>
  <si>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</si>
  <si>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</si>
  <si>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</si>
  <si>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</si>
  <si>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</si>
  <si>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</si>
  <si>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</si>
  <si>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</si>
  <si>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</si>
  <si>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</si>
  <si>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</si>
  <si>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</si>
  <si>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</si>
  <si>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</si>
  <si>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</si>
  <si>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</si>
  <si>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</si>
  <si>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</si>
  <si>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</si>
  <si>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</si>
  <si>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</si>
  <si>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</si>
  <si>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</si>
  <si>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</si>
  <si>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</si>
  <si>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secan（探す, 追い求める）</t>
    <rPh sb="6" eb="7">
      <t>サガ</t>
    </rPh>
    <rPh sb="10" eb="11">
      <t>オ</t>
    </rPh>
    <rPh sb="12" eb="13">
      <t>モト</t>
    </rPh>
    <phoneticPr fontId="1"/>
  </si>
  <si>
    <t>sēchen
探し求めていく</t>
    <rPh sb="7" eb="8">
      <t>サガ</t>
    </rPh>
    <rPh sb="9" eb="10">
      <t>モト</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</si>
  <si>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</si>
  <si>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</si>
  <si>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</si>
  <si>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</si>
  <si>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</si>
  <si>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</si>
  <si>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</si>
  <si>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</si>
  <si>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</si>
  <si>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</si>
  <si>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</si>
  <si>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</si>
  <si>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</si>
  <si>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</si>
  <si>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</si>
  <si>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</si>
  <si>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</si>
  <si>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</si>
  <si>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</si>
  <si>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</si>
  <si>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</si>
  <si>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</si>
  <si>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</si>
  <si>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</si>
  <si>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</si>
  <si>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</si>
  <si>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</si>
  <si>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</si>
  <si>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</si>
  <si>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</si>
  <si>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</si>
  <si>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</si>
  <si>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</si>
  <si>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</si>
  <si>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</si>
  <si>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</si>
  <si>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</si>
  <si>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</si>
  <si>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</si>
  <si>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</si>
  <si>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</si>
  <si>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</si>
  <si>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</si>
  <si>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*keudh-（隠す, 覆い隠す）</t>
    <rPh sb="8" eb="9">
      <t>カク</t>
    </rPh>
    <rPh sb="12" eb="13">
      <t>オオ</t>
    </rPh>
    <rPh sb="14" eb="15">
      <t>カク</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</si>
  <si>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</si>
  <si>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</si>
  <si>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</si>
  <si>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</si>
  <si>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</si>
  <si>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</si>
  <si>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</si>
  <si>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</si>
  <si>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</si>
  <si>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</si>
  <si>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</si>
  <si>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</si>
  <si>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</si>
  <si>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</si>
  <si>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</si>
  <si>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</si>
  <si>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</si>
  <si>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</si>
  <si>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</si>
  <si>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</si>
  <si>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</si>
  <si>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</si>
  <si>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</si>
  <si>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</si>
  <si>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</si>
  <si>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</si>
  <si>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</si>
  <si>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</si>
  <si>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</si>
  <si>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</si>
  <si>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</si>
  <si>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</si>
  <si>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</si>
  <si>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</si>
  <si>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</si>
  <si>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</si>
  <si>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</si>
  <si>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</si>
  <si>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</si>
  <si>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</si>
  <si>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</si>
  <si>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</si>
  <si>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</si>
  <si>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</si>
  <si>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collègue（同僚）</t>
    <rPh sb="9" eb="11">
      <t>ドウリョウ</t>
    </rPh>
    <phoneticPr fontId="1"/>
  </si>
  <si>
    <t>1530年代
同僚</t>
    <rPh sb="4" eb="6">
      <t>ネンダイ</t>
    </rPh>
    <rPh sb="7" eb="9">
      <t>ドウリョウ</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</si>
  <si>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</si>
  <si>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</si>
  <si>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</si>
  <si>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</si>
  <si>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</si>
  <si>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</si>
  <si>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</si>
  <si>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</si>
  <si>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</si>
  <si>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</si>
  <si>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</si>
  <si>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</si>
  <si>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</si>
  <si>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</si>
  <si>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</si>
  <si>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</si>
  <si>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</si>
  <si>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</si>
  <si>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</si>
  <si>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</si>
  <si>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</si>
  <si>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</si>
  <si>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</si>
  <si>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</si>
  <si>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</si>
  <si>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</si>
  <si>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</si>
  <si>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</si>
  <si>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</si>
  <si>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</si>
  <si>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ique</t>
  </si>
  <si>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</si>
  <si>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</si>
  <si>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</si>
  <si>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</si>
  <si>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</si>
  <si>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</si>
  <si>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</si>
  <si>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</si>
  <si>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</si>
  <si>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</si>
  <si>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</si>
  <si>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</si>
  <si>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</si>
  <si>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</si>
  <si>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</si>
  <si>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</si>
  <si>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</si>
  <si>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</si>
  <si>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</si>
  <si>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</si>
  <si>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</si>
  <si>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</si>
  <si>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</si>
  <si>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</si>
  <si>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</si>
  <si>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</si>
  <si>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</si>
  <si>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</si>
  <si>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</si>
  <si>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</si>
  <si>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</si>
  <si>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</si>
  <si>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</si>
  <si>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</si>
  <si>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</si>
  <si>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</si>
  <si>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</si>
  <si>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</si>
  <si>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</si>
  <si>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</si>
  <si>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</si>
  <si>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</si>
  <si>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</si>
  <si>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</si>
  <si>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</si>
  <si>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</si>
  <si>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</si>
  <si>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</si>
  <si>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</si>
  <si>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</si>
  <si>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</si>
  <si>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</si>
  <si>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</si>
  <si>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</si>
  <si>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</si>
  <si>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 xml:space="preserve">aestimare（価値を定める）
</t>
    <rPh sb="10" eb="12">
      <t>カチ</t>
    </rPh>
    <rPh sb="13" eb="14">
      <t>サダ</t>
    </rPh>
    <phoneticPr fontId="1"/>
  </si>
  <si>
    <t>aesmer（価値を定める）</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</si>
  <si>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</si>
  <si>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</si>
  <si>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</si>
  <si>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</si>
  <si>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*gene-（生む, 産む）</t>
  </si>
  <si>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</si>
  <si>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</si>
  <si>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</si>
  <si>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trac（馬の足跡, 痕跡）</t>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</si>
  <si>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</si>
  <si>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</si>
  <si>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</si>
  <si>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</si>
  <si>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</si>
  <si>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</si>
  <si>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</si>
  <si>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</si>
  <si>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</si>
  <si>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</si>
  <si>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</si>
  <si>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</si>
  <si>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</si>
  <si>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</si>
  <si>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</si>
  <si>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</si>
  <si>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</si>
  <si>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</si>
  <si>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</si>
  <si>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</si>
  <si>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</si>
  <si>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</si>
  <si>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</si>
  <si>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</si>
  <si>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</si>
  <si>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</si>
  <si>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</si>
  <si>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</si>
  <si>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</si>
  <si>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</si>
  <si>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</si>
  <si>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</si>
  <si>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</si>
  <si>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</si>
  <si>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</si>
  <si>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moral（道徳の）</t>
    <rPh sb="6" eb="8">
      <t>ドウトク</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</si>
  <si>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</si>
  <si>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</si>
  <si>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</si>
  <si>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</si>
  <si>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</si>
  <si>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</si>
  <si>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</si>
  <si>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</si>
  <si>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</si>
  <si>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</si>
  <si>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</si>
  <si>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</si>
  <si>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</si>
  <si>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</si>
  <si>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</si>
  <si>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</si>
  <si>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</si>
  <si>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</si>
  <si>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</si>
  <si>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</si>
  <si>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</si>
  <si>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</si>
  <si>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</si>
  <si>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</si>
  <si>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</si>
  <si>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</si>
  <si>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</si>
  <si>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</si>
  <si>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</si>
  <si>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</si>
  <si>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</si>
  <si>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</si>
  <si>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examiner（問いただす）</t>
    <rPh sb="9" eb="10">
      <t>ト</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</si>
  <si>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</si>
  <si>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</si>
  <si>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</si>
  <si>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</si>
  <si>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</si>
  <si>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</si>
  <si>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</si>
  <si>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</si>
  <si>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</si>
  <si>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</si>
  <si>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</si>
  <si>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</si>
  <si>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</si>
  <si>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</si>
  <si>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</si>
  <si>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</si>
  <si>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</si>
  <si>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</si>
  <si>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</si>
  <si>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</si>
  <si>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</si>
  <si>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</si>
  <si>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</si>
  <si>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</si>
  <si>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</si>
  <si>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</si>
  <si>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</si>
  <si>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</si>
  <si>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</si>
  <si>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</si>
  <si>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</si>
  <si>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</si>
  <si>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</si>
  <si>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</si>
  <si>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</si>
  <si>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</si>
  <si>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</si>
  <si>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</si>
  <si>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</si>
  <si>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</si>
  <si>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</si>
  <si>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</si>
  <si>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</si>
  <si>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</si>
  <si>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</si>
  <si>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</si>
  <si>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</si>
  <si>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</si>
  <si>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</si>
  <si>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</si>
  <si>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</si>
  <si>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</si>
  <si>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</si>
  <si>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</si>
  <si>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</si>
  <si>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</si>
  <si>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</si>
  <si>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</si>
  <si>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</si>
  <si>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</si>
  <si>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</si>
  <si>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</si>
  <si>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</si>
  <si>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</si>
  <si>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</si>
  <si>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</si>
  <si>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</si>
  <si>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</si>
  <si>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</si>
  <si>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</si>
  <si>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</si>
  <si>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</si>
  <si>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</si>
  <si>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</si>
  <si>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</si>
  <si>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</si>
  <si>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</si>
  <si>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</si>
  <si>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</si>
  <si>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</si>
  <si>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*wer-（覆う）</t>
    <rPh sb="6" eb="7">
      <t>オオ</t>
    </rPh>
    <phoneticPr fontId="1"/>
  </si>
  <si>
    <t>warnen</t>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</si>
  <si>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</si>
  <si>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</si>
  <si>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</si>
  <si>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</si>
  <si>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</si>
  <si>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</si>
  <si>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</si>
  <si>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</si>
  <si>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</si>
  <si>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</si>
  <si>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</si>
  <si>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</si>
  <si>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</si>
  <si>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*pleu-（流れる, 流動する）</t>
    <rPh sb="7" eb="8">
      <t>ナガ</t>
    </rPh>
    <rPh sb="12" eb="14">
      <t>リュウドウ</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</si>
  <si>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</si>
  <si>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</si>
  <si>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</si>
  <si>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</si>
  <si>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</si>
  <si>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</si>
  <si>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</si>
  <si>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</si>
  <si>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</si>
  <si>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</si>
  <si>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</si>
  <si>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</si>
  <si>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</si>
  <si>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</si>
  <si>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</si>
  <si>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</si>
  <si>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</si>
  <si>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</si>
  <si>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</si>
  <si>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</si>
  <si>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</si>
  <si>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</si>
  <si>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</si>
  <si>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</si>
  <si>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</si>
  <si>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</si>
  <si>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</si>
  <si>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</si>
  <si>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</si>
  <si>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</si>
  <si>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</si>
  <si>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</si>
  <si>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</si>
  <si>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</si>
  <si>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</si>
  <si>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</si>
  <si>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</si>
  <si>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</si>
  <si>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</si>
  <si>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</si>
  <si>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</si>
  <si>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</si>
  <si>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</si>
  <si>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</si>
  <si>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</si>
  <si>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</si>
  <si>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</si>
  <si>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</si>
  <si>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</si>
  <si>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</si>
  <si>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</si>
  <si>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</si>
  <si>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</si>
  <si>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</si>
  <si>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</si>
  <si>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</si>
  <si>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</si>
  <si>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</si>
  <si>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</si>
  <si>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</si>
  <si>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</si>
  <si>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</si>
  <si>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</si>
  <si>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</si>
  <si>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</si>
  <si>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</si>
  <si>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</si>
  <si>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</si>
  <si>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</si>
  <si>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</si>
  <si>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</si>
  <si>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</si>
  <si>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</si>
  <si>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</si>
  <si>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</si>
  <si>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</si>
  <si>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fundus（底, 基礎）</t>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</si>
  <si>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</si>
  <si>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*(h)uebh-（織る）</t>
    <rPh sb="10" eb="11">
      <t>オ</t>
    </rPh>
    <phoneticPr fontId="1"/>
  </si>
  <si>
    <t>1300年代
クモの巣</t>
    <rPh sb="4" eb="6">
      <t>ネンダイ</t>
    </rPh>
    <rPh sb="10" eb="11">
      <t>ス</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</si>
  <si>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</si>
  <si>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</si>
  <si>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</si>
  <si>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</si>
  <si>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</si>
  <si>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</si>
  <si>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</si>
  <si>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</si>
  <si>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</si>
  <si>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</si>
  <si>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</si>
  <si>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</si>
  <si>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astron（星）</t>
    <rPh sb="7" eb="8">
      <t>ホシ</t>
    </rPh>
    <phoneticPr fontId="1"/>
  </si>
  <si>
    <t>astrum（星, 天体）</t>
    <rPh sb="7" eb="8">
      <t>ホシ</t>
    </rPh>
    <rPh sb="10" eb="12">
      <t>テンタイ</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</si>
  <si>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</si>
  <si>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</si>
  <si>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</si>
  <si>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</si>
  <si>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</si>
  <si>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</si>
  <si>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</si>
  <si>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</si>
  <si>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</si>
  <si>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</si>
  <si>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</si>
  <si>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</si>
  <si>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</si>
  <si>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</si>
  <si>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</si>
  <si>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</si>
  <si>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</si>
  <si>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</si>
  <si>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</si>
  <si>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</si>
  <si>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</si>
  <si>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</si>
  <si>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</si>
  <si>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</si>
  <si>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</si>
  <si>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</si>
  <si>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</si>
  <si>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</si>
  <si>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</si>
  <si>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</si>
  <si>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</si>
  <si>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</si>
  <si>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</si>
  <si>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</si>
  <si>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</si>
  <si>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</si>
  <si>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</si>
  <si>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</si>
  <si>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</si>
  <si>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</si>
  <si>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1610年代
注意深く行う, 正確な</t>
    <rPh sb="4" eb="6">
      <t>ネンダイ</t>
    </rPh>
    <rPh sb="7" eb="10">
      <t>チュウイブカ</t>
    </rPh>
    <rPh sb="11" eb="12">
      <t>オコナ</t>
    </rPh>
    <rPh sb="15" eb="17">
      <t>セイカク</t>
    </rPh>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</si>
  <si>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</si>
  <si>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</si>
  <si>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</si>
  <si>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</si>
  <si>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</si>
  <si>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</si>
  <si>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</si>
  <si>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</si>
  <si>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</si>
  <si>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</si>
  <si>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</si>
  <si>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</si>
  <si>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</si>
  <si>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</si>
  <si>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</si>
  <si>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</si>
  <si>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</si>
  <si>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</si>
  <si>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</si>
  <si>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</si>
  <si>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</si>
  <si>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</si>
  <si>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</si>
  <si>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</si>
  <si>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</si>
  <si>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</si>
  <si>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</si>
  <si>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</si>
  <si>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</si>
  <si>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</si>
  <si>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</si>
  <si>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</si>
  <si>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</si>
  <si>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</si>
  <si>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</si>
  <si>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</si>
  <si>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</si>
  <si>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</si>
  <si>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</si>
  <si>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</si>
  <si>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</si>
  <si>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</si>
  <si>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</si>
  <si>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</si>
  <si>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</si>
  <si>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</si>
  <si>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</si>
  <si>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</si>
  <si>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</si>
  <si>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</si>
  <si>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</si>
  <si>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</si>
  <si>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</si>
  <si>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</si>
  <si>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</si>
  <si>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</si>
  <si>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</si>
  <si>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</si>
  <si>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</si>
  <si>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</si>
  <si>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</si>
  <si>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</si>
  <si>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</si>
  <si>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 xml:space="preserve">1560年代
何かを生み出す
</t>
    <rPh sb="4" eb="6">
      <t>ネンダイ</t>
    </rPh>
    <rPh sb="7" eb="8">
      <t>ナニ</t>
    </rPh>
    <rPh sb="10" eb="11">
      <t>ウ</t>
    </rPh>
    <rPh sb="12" eb="13">
      <t>ダ</t>
    </rPh>
    <phoneticPr fontId="1"/>
  </si>
  <si>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</si>
  <si>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</si>
  <si>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</si>
  <si>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</si>
  <si>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</si>
  <si>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</si>
  <si>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</si>
  <si>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amased
&lt;span class="spacer"&gt;&lt;/span&gt;1200年頃
呆然とした
&lt;span class="spacer"&gt;&lt;/span&gt;14世紀後期
ぼーっとした, 当惑した</t>
  </si>
  <si>
    <t>1580年代
突然の驚きによって圧倒する, 困惑させる</t>
  </si>
  <si>
    <t>teran（力ずくで引き裂く）</t>
  </si>
  <si>
    <t>tēran（引き裂く）</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</si>
  <si>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</si>
  <si>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</si>
  <si>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</si>
  <si>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</si>
  <si>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</si>
  <si>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</si>
  <si>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</si>
  <si>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</si>
  <si>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</si>
  <si>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</si>
  <si>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</si>
  <si>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</si>
  <si>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</si>
  <si>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</si>
  <si>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</si>
  <si>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</si>
  <si>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</si>
  <si>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</si>
  <si>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</si>
  <si>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</si>
  <si>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</si>
  <si>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</si>
  <si>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</si>
  <si>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</si>
  <si>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</si>
  <si>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*bheid-（裂く、分ける）</t>
  </si>
  <si>
    <t>bitan（噛み切る, 歯で突き刺す）</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</si>
  <si>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</si>
  <si>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</si>
  <si>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</si>
  <si>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</si>
  <si>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</si>
  <si>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</si>
  <si>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</si>
  <si>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</si>
  <si>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</si>
  <si>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</si>
  <si>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</si>
  <si>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</si>
  <si>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</si>
  <si>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</si>
  <si>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</si>
  <si>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</si>
  <si>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</si>
  <si>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</si>
  <si>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</si>
  <si>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</si>
  <si>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</si>
  <si>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</si>
  <si>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</si>
  <si>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</si>
  <si>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</si>
  <si>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</si>
  <si>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</si>
  <si>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</si>
  <si>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in（中に, 上に）+sistere（立たせる）
insistere（上に立たせる, 立場をとる, 強く主張する）</t>
  </si>
  <si>
    <t>insister</t>
  </si>
  <si>
    <t xml:space="preserve">1580年代に英語に入る
</t>
  </si>
  <si>
    <t>com（共に）+petere（求める, 目指す）
competere（出会う, 一致する）</t>
  </si>
  <si>
    <t>competere（何かを求めて競い合う）</t>
  </si>
  <si>
    <t>compéter（競争関係にある）</t>
  </si>
  <si>
    <t>1610年代
競争関係になる</t>
  </si>
  <si>
    <t>*hring（円, 輪）</t>
  </si>
  <si>
    <t>ranc（列, 並び）</t>
  </si>
  <si>
    <t>14世紀初頭
列, 並び, 連なり</t>
  </si>
  <si>
    <t>1570年代
列に並べる
&lt;span class="spacer"&gt;&lt;/span&gt;1590年代
階級や等級を与える
階層の中で位置づける</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</si>
  <si>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</si>
  <si>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</si>
  <si>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</si>
  <si>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</si>
  <si>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</si>
  <si>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</si>
  <si>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</si>
  <si>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in（中に）+tendere（伸ばす）
intendere（中に伸ばす, 注意を向ける）</t>
  </si>
  <si>
    <t>intendre（注意を向ける）</t>
  </si>
  <si>
    <t>1300年頃
注意を向ける, 心を向ける
&lt;span class="spacer"&gt;&lt;/span&gt;14世紀後期
心に決める, 意図する</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</si>
  <si>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</si>
  <si>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</si>
  <si>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</si>
  <si>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</si>
  <si>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</si>
  <si>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</si>
  <si>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</si>
  <si>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</si>
  <si>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</si>
  <si>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pro（前へ）+ponere（置く）</t>
  </si>
  <si>
    <t>proposen
&lt;span class="spacer"&gt;&lt;/span&gt;14世紀半ば
計画を作る
&lt;span class="spacer"&gt;&lt;/span&gt;14世紀後期
提案する, 提示する</t>
  </si>
  <si>
    <t>1764年までに
結婚を申し込む</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</si>
  <si>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</si>
  <si>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</si>
  <si>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</si>
  <si>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</si>
  <si>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bræð（息）</t>
  </si>
  <si>
    <t>1200年頃
呼吸する</t>
  </si>
  <si>
    <t>re（再び）+parāre（整える）
reparāre（再び整える, 元の状態に戻す）</t>
  </si>
  <si>
    <t>reparer（修理する）</t>
  </si>
  <si>
    <t>reparen
&lt;span class="spacer"&gt;&lt;/span&gt;14世紀半ば
修繕する, 完全な状態に戻す</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</si>
  <si>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</si>
  <si>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</si>
  <si>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</si>
  <si>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</si>
  <si>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</si>
  <si>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</si>
  <si>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</si>
  <si>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</si>
  <si>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</si>
  <si>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</si>
  <si>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</si>
  <si>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</si>
  <si>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neah（近い）+gebur（住人）
neahgebur（近くに住む人）</t>
  </si>
  <si>
    <t>15世紀半ば
neighbor（近くに住む人）＋hood（状態・性質を表す）
隣人である状態</t>
  </si>
  <si>
    <t>1620年代
近くに住む人々の共同体</t>
  </si>
  <si>
    <t>laborat</t>
  </si>
  <si>
    <t>ory</t>
  </si>
  <si>
    <t>laboratusに名詞を作る-orium（〜する場所）が付いて
laboratorium（労働や作業のための場所）</t>
  </si>
  <si>
    <t>1600年頃
科学実験のために作られた部屋や建物
研究室</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</si>
  <si>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</si>
  <si>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</si>
  <si>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</si>
  <si>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</si>
  <si>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</si>
  <si>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</si>
  <si>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hearm（傷, 痛み, 害, 悪）</t>
  </si>
  <si>
    <t>instrument（手段, 装置, 楽器）</t>
  </si>
  <si>
    <t>13世紀後期
楽器
&lt;span class="spacer"&gt;&lt;/span&gt;14世紀初頭
器具, 用具
&lt;span class="spacer"&gt;&lt;/span&gt;14世紀半ば
手段</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</si>
  <si>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</si>
  <si>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</si>
  <si>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</si>
  <si>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</si>
  <si>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</si>
  <si>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</si>
  <si>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</si>
  <si>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</si>
  <si>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</si>
  <si>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</si>
  <si>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</si>
  <si>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</si>
  <si>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*gno-（知る）</t>
  </si>
  <si>
    <t>14世紀後期
一般的概念</t>
  </si>
  <si>
    <t>1600年頃
意見, 見解</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</si>
  <si>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</si>
  <si>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</si>
  <si>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</si>
  <si>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</si>
  <si>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</si>
  <si>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</si>
  <si>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</si>
  <si>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</si>
  <si>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</si>
  <si>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</si>
  <si>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</si>
  <si>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</si>
  <si>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</si>
  <si>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13世紀
ocasion（機会）</t>
  </si>
  <si>
    <t>occasioun
&lt;span class="spacer"&gt;&lt;/span&gt;14世紀後期
機会
何か他のことを可能にする事態, 場合</t>
  </si>
  <si>
    <t>1560年代
何かが起こる時</t>
  </si>
  <si>
    <t>fac</t>
  </si>
  <si>
    <t>ili</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</si>
  <si>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</si>
  <si>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</si>
  <si>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</si>
  <si>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</si>
  <si>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</si>
  <si>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</si>
  <si>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</si>
  <si>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</si>
  <si>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</si>
  <si>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</si>
  <si>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</si>
  <si>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</si>
  <si>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</si>
  <si>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</si>
  <si>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dia（間で, 横切って）+legein（話す）
dialegesthai（互いに話す）
&lt;span class="spacer"&gt;&lt;/span&gt;名詞になって
dialektos（会話, 方言）</t>
  </si>
  <si>
    <t>dialecte</t>
  </si>
  <si>
    <t>1570年代
言語, 話し方, 方言</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</si>
  <si>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</si>
  <si>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</si>
  <si>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</si>
  <si>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14世紀後期
lawe（法）＋ier（〜する人）
lawer（法律に精通した者, 弁護士）</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</si>
  <si>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</si>
  <si>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</si>
  <si>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</si>
  <si>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</si>
  <si>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</si>
  <si>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</si>
  <si>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</si>
  <si>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</si>
  <si>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</si>
  <si>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</si>
  <si>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</si>
  <si>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</si>
  <si>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</si>
  <si>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</si>
  <si>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</si>
  <si>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</si>
  <si>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</si>
  <si>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中世オランダ語</t>
  </si>
  <si>
    <t>近代オランダ語</t>
  </si>
  <si>
    <t>landschap（美術用語で風景画）</t>
  </si>
  <si>
    <t>1600年頃
風景画
&lt;span class="spacer"&gt;&lt;/span&gt;1886年から
景観, 風景</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</si>
  <si>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</si>
  <si>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</si>
  <si>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</si>
  <si>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</si>
  <si>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</si>
  <si>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</si>
  <si>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</si>
  <si>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</si>
  <si>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</si>
  <si>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</si>
  <si>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</si>
  <si>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trier（試す：tryの語源）</t>
  </si>
  <si>
    <t>trierが名詞になって
trial</t>
  </si>
  <si>
    <t>15世紀半ば
裁判における審理
有罪か無罪かを決めるための審査
&lt;span class="spacer"&gt;&lt;/span&gt;15世紀後期
試験, 実験, 検証</t>
  </si>
  <si>
    <t>1540年代
試練</t>
  </si>
  <si>
    <t>norma（大工の定規, 規範）</t>
  </si>
  <si>
    <t>norme（規範, 基準）</t>
  </si>
  <si>
    <t>1670年代
大工の定規
&lt;span class="spacer"&gt;&lt;/span&gt;1821年
標準, 基準, 模範</t>
  </si>
  <si>
    <t>code（法の体系, 法典）</t>
  </si>
  <si>
    <t>1300年頃
法の体系的編纂, 法典</t>
  </si>
  <si>
    <t>1808年
信号の体系とその使用規則
暗号</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</si>
  <si>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</si>
  <si>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</si>
  <si>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</si>
  <si>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</si>
  <si>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multi（多数の）＋plus（n倍, n重）</t>
  </si>
  <si>
    <t>multiplus（多様な, 多重の）</t>
  </si>
  <si>
    <t>multiple</t>
  </si>
  <si>
    <t>1640年代
多くの部分を含む
複数の完全な個体から成る
&lt;span class="spacer"&gt;&lt;/span&gt;1680年代
公倍数（名詞）</t>
  </si>
  <si>
    <t>numerus（数）</t>
  </si>
  <si>
    <t>形容詞を作る-osus（〜が多い）が付いて
numerosus（数が多い）</t>
  </si>
  <si>
    <t>15世紀初頭
数が多い</t>
  </si>
  <si>
    <t>nearu（幅が狭い, 制限された, 心の狭い, 圧迫的な, 厳格な）</t>
  </si>
  <si>
    <t>narwe（狭い, 限られた）</t>
  </si>
  <si>
    <t>1705年
wide（広く）＋spreadの過去分詞
widespread（広範囲に拡散した）</t>
  </si>
  <si>
    <t>sub（下から）＋facere（行う, 作る）
sufficere（下から支える, 代わりに供給する, 補う）
&lt;span class="spacer"&gt;&lt;/span&gt;現在分詞sufficiens（十分な）</t>
  </si>
  <si>
    <t>soficient（十分な, 満足できる）</t>
  </si>
  <si>
    <t>14世紀初頭
十分な, 足りる</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</si>
  <si>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</si>
  <si>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</si>
  <si>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</si>
  <si>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</si>
  <si>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</si>
  <si>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</si>
  <si>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</si>
  <si>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</si>
  <si>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形容詞を作る-alisが付いて
annualis（毎年の）</t>
  </si>
  <si>
    <t>12世紀
annuel（毎年の）</t>
  </si>
  <si>
    <t>14世紀後期
1年ごとに任命される
&lt;span class="spacer"&gt;&lt;/span&gt;1400年頃
年に1度行われる</t>
  </si>
  <si>
    <t>com（共に）＋temporarius（時間の）
contemporarius（同じ時代の, 同時代の）</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</si>
  <si>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</si>
  <si>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</si>
  <si>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</si>
  <si>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</si>
  <si>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</si>
  <si>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</si>
  <si>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</si>
  <si>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</si>
  <si>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</si>
  <si>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</si>
  <si>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</si>
  <si>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oddi（陸地の先端, 角, 三角形, 3番目, ペアにならない余分な数）</t>
  </si>
  <si>
    <t>odde
&lt;span class="spacer"&gt;&lt;/span&gt;1300年
奇数</t>
  </si>
  <si>
    <t>1580年代
ペアにならないもの
浮いているもの
奇妙な, 風変わりな</t>
  </si>
  <si>
    <t>unは否定の意味。</t>
  </si>
  <si>
    <t>1300年頃
見慣れない, 未知の
&lt;span class="spacer"&gt;&lt;/span&gt;14世紀初頭
発見されていない
判明していない</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</si>
  <si>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</si>
  <si>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</si>
  <si>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</si>
  <si>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</si>
  <si>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</si>
  <si>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</si>
  <si>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</si>
  <si>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</si>
  <si>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</si>
  <si>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violent（激しい, 荒々しい）</t>
  </si>
  <si>
    <t>14世紀半ば
過度な物理的な力を特徴とする
暴力的な
&lt;span class="spacer"&gt;&lt;/span&gt;14世紀後期
あらゆる点で激しい, 極端な</t>
  </si>
  <si>
    <t>形容詞を作る-alisが付いて
virtualis</t>
  </si>
  <si>
    <t>1831年までに
実像ではなく、反射などによる見かけの像</t>
  </si>
  <si>
    <t>現代英語</t>
  </si>
  <si>
    <t>1959年から
ソフトフェアによって作られるヴァーチャルの</t>
  </si>
  <si>
    <t>re（強意）＋garder（見る）
regarder（見る, 注視する, 注意を払う）</t>
  </si>
  <si>
    <t>regard（注意, 配慮, 考慮, 関心）</t>
  </si>
  <si>
    <t>regard（注意, 関心）＋less（〜がない）
&lt;span class="spacer"&gt;&lt;/span&gt;1590年代
注意を払わない, 無関心な</t>
  </si>
  <si>
    <t>in（否定）＋mediatus（中間に置かれた）
immediatus（間に何もない）</t>
  </si>
  <si>
    <t>immediat（直接の）</t>
  </si>
  <si>
    <t>15世紀初頭
何も介在しない, 直接の
時間について即時の</t>
  </si>
  <si>
    <t>crux（十字架）</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</si>
  <si>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</si>
  <si>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</si>
  <si>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</si>
  <si>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</si>
  <si>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</si>
  <si>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</si>
  <si>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</si>
  <si>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trans（越えて）＋ferre（運ぶ）
transferre（向こう側へ運ぶ）
&lt;span class="spacer"&gt;&lt;/span&gt;過去分詞translatus（運び越された, 移された）</t>
  </si>
  <si>
    <t>translater（移す）</t>
  </si>
  <si>
    <t>14世紀初頭
物理的に別の場所へ移す
別の言語へ移す, 翻訳する</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</si>
  <si>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</si>
  <si>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</si>
  <si>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</si>
  <si>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</si>
  <si>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</si>
  <si>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</si>
  <si>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</si>
  <si>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</si>
  <si>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*krei-（ふるいにかける）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</si>
  <si>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</si>
  <si>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</si>
  <si>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</si>
  <si>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</si>
  <si>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1200年頃
困難や障害を克服する</t>
  </si>
  <si>
    <t>obtenir（獲得する, 手に入れる）</t>
  </si>
  <si>
    <t>obteinen
&lt;span class="spacer"&gt;&lt;/span&gt;獲得する, 得る</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</si>
  <si>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</si>
  <si>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</si>
  <si>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</si>
  <si>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se（離れて）＋cura（心配）
securus（心配から離れた, 安全な）</t>
  </si>
  <si>
    <t>seur（安全な, 確かな, 確信した）</t>
  </si>
  <si>
    <t>動詞を作るen-が付いて
enseurer（確かな状態にする）</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</si>
  <si>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</si>
  <si>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</si>
  <si>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</si>
  <si>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</si>
  <si>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</si>
  <si>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</si>
  <si>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</si>
  <si>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</si>
  <si>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</si>
  <si>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</si>
  <si>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</si>
  <si>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</si>
  <si>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</si>
  <si>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</si>
  <si>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</si>
  <si>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</si>
  <si>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</si>
  <si>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</si>
  <si>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</si>
  <si>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</si>
  <si>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</si>
  <si>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</si>
  <si>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</si>
  <si>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</si>
  <si>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</si>
  <si>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</si>
  <si>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</si>
  <si>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</si>
  <si>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</si>
  <si>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</si>
  <si>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</si>
  <si>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</si>
  <si>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</si>
  <si>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</si>
  <si>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</si>
  <si>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</si>
  <si>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</si>
  <si>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</si>
  <si>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a（〜から）＋risan（起き上がる, 立ち上がる）
arisan（立ち上がる, 起き上がる, 生じる）</t>
  </si>
  <si>
    <t>arisen</t>
  </si>
  <si>
    <t>多くの用法でriseに置き換えられ、問題や状況が生じるという意味が残った</t>
  </si>
  <si>
    <t>beatan（打撃を与える, 繰り返し打つ）</t>
  </si>
  <si>
    <t>1200年頃
胸を打つ, 心臓が鼓動する
&lt;span class="spacer"&gt;&lt;/span&gt;1400年頃
茂みを叩いて獲物を追い出す</t>
  </si>
  <si>
    <t>1610年代
争いで打ち負かす</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</si>
  <si>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</si>
  <si>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</si>
  <si>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</si>
  <si>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*al-（向こう側に）＋ter（比較級の接尾辞）</t>
  </si>
  <si>
    <t>alter（2つのうちもう一方）</t>
  </si>
  <si>
    <t>alterare（変える, 別のものにする）</t>
  </si>
  <si>
    <t>alterer（変える）</t>
  </si>
  <si>
    <t>14世紀後期
変える, 違ったものにする</t>
  </si>
  <si>
    <t>1580年代
変わる（自動詞）</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</si>
  <si>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</si>
  <si>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</si>
  <si>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</si>
  <si>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</si>
  <si>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punctum（針で刺した小さな穴, 点）</t>
  </si>
  <si>
    <t>dis（否定）＋appointen（任命する）
&lt;span class="spacer"&gt;&lt;/span&gt;15世紀半ば
任命された職を解く, 罷免する
&lt;span class="spacer"&gt;&lt;/span&gt;15世紀後期
人の期待や希望をくじく</t>
  </si>
  <si>
    <t>curare（世話をする, 配慮する, 治療する, 治す）</t>
  </si>
  <si>
    <t>curer</t>
  </si>
  <si>
    <t>14世紀後期
健康な状態を取り戻す, 正常な状態に回復させる</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</si>
  <si>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</si>
  <si>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</si>
  <si>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</si>
  <si>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</si>
  <si>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</si>
  <si>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</si>
  <si>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</si>
  <si>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</si>
  <si>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</si>
  <si>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hon（吊るす）
hangian（ぶら下がっている）
&lt;span class="spacer"&gt;&lt;/span&gt;この2つの単語が1単語になる</t>
  </si>
  <si>
    <t>1828年から
hang around（ぶらぶらする, うろつく）</t>
  </si>
  <si>
    <t>*blastemare</t>
  </si>
  <si>
    <t>blasmer（非難する, 叱責する）</t>
  </si>
  <si>
    <t>1200年頃
非難する, とがめる
&lt;span class="spacer"&gt;&lt;/span&gt;1300年頃
責任を負わせる</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</si>
  <si>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</si>
  <si>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</si>
  <si>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</si>
  <si>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</si>
  <si>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</si>
  <si>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</si>
  <si>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</si>
  <si>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</si>
  <si>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</si>
  <si>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</si>
  <si>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</si>
  <si>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15世紀半ば
適切な儀式を伴って公に執り行う</t>
  </si>
  <si>
    <t>1550年代
喜びの表現をもって祝う</t>
  </si>
  <si>
    <t>manus（手）＋facere（作る, 行う）
manus（手）＋factura（作ること, 作業）</t>
  </si>
  <si>
    <t>manufactura（手で作ること）</t>
  </si>
  <si>
    <t>16世紀
manufacture</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</si>
  <si>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</si>
  <si>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</si>
  <si>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</si>
  <si>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arengen
&lt;span class="spacer"&gt;&lt;/span&gt;14世紀後期
隊列を整える</t>
  </si>
  <si>
    <t>1780年〜1800年
物事を順序立てて配置する
&lt;span class="spacer"&gt;&lt;/span&gt;1786年までに
合意に達する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</si>
  <si>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</si>
  <si>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</si>
  <si>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</si>
  <si>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</si>
  <si>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</si>
  <si>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</si>
  <si>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</si>
  <si>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</si>
  <si>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</si>
  <si>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</si>
  <si>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</si>
  <si>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</si>
  <si>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bulga（革の袋）</t>
  </si>
  <si>
    <t>bouge（革袋, 財布）
&lt;span class="spacer"&gt;&lt;/span&gt;小さいことを表すetteが付いて
bougette（小さな革袋）</t>
  </si>
  <si>
    <t>bouget（革の袋）</t>
  </si>
  <si>
    <t>feoh（家畜, 財産）</t>
  </si>
  <si>
    <t>fieu（所有物, 領地, 封建的義務, 支払い）</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</si>
  <si>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</si>
  <si>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</si>
  <si>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</si>
  <si>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</si>
  <si>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</si>
  <si>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</si>
  <si>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</si>
  <si>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</si>
  <si>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</si>
  <si>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lan（ローン, 貸し付け）</t>
  </si>
  <si>
    <t>12世紀後期
貸し付けられたもの
将来返却を約束して提供されたもの</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</si>
  <si>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</si>
  <si>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</si>
  <si>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</si>
  <si>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</si>
  <si>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</si>
  <si>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</si>
  <si>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ad（〜へ）
illas（その）
arma（武器）</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</si>
  <si>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</si>
  <si>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</si>
  <si>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</si>
  <si>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ex（外に）＋mergere（浸す, 沈める）
emergere（外へ浮かび上がる, 現れ出る）
&lt;span class="spacer"&gt;&lt;/span&gt;現在分詞emergens</t>
  </si>
  <si>
    <t>1630年代
即座の対応が必要な、予期せぬ出来事</t>
  </si>
  <si>
    <t>13世紀
democratia</t>
  </si>
  <si>
    <t>14世紀
démocratie</t>
  </si>
  <si>
    <t>1570年代
民衆による統治
人民に主権があり、選挙によって選ばれた代表者が権力を行使する統治形態</t>
  </si>
  <si>
    <t>12世紀
menistre（召使い, 従者, 管理者）</t>
  </si>
  <si>
    <t>1300年頃
キリスト教の教会の聖職者
上位者の権限に基づいて行動する人</t>
  </si>
  <si>
    <t>1620年代
君主や国家の最高元首によって任命された大臣</t>
  </si>
  <si>
    <t>feolaga（仲間, 同僚）</t>
  </si>
  <si>
    <t>1200年頃
仲間, 同志
&lt;span class="spacer"&gt;&lt;/span&gt;15世紀半ば
男, 男性</t>
  </si>
  <si>
    <t>1600年頃
選挙や任命によって公職を求める者</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</si>
  <si>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</si>
  <si>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</si>
  <si>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</si>
  <si>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</si>
  <si>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</si>
  <si>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</si>
  <si>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</si>
  <si>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</si>
  <si>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</si>
  <si>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</si>
  <si>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</si>
  <si>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</si>
  <si>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</si>
  <si>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</si>
  <si>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</si>
  <si>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</si>
  <si>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</si>
  <si>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</si>
  <si>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</si>
  <si>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</si>
  <si>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</si>
  <si>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</si>
  <si>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wæpen（戦闘や防御の道具）</t>
  </si>
  <si>
    <t>wepen
&lt;span class="spacer"&gt;&lt;/span&gt;1300年頃までに
本来は武器ではなくても、争いや闘争で役立つもの</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</si>
  <si>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</si>
  <si>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</si>
  <si>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</si>
  <si>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barrere</t>
  </si>
  <si>
    <t>14世紀初頭
barere（侵入を妨げるもの, 障害物）</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</si>
  <si>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</si>
  <si>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</si>
  <si>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</si>
  <si>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</si>
  <si>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mod（心, 精神, 勇気）</t>
  </si>
  <si>
    <t>1300年頃
感情の状態, 心のあり方</t>
  </si>
  <si>
    <t>movere（動かす）
&lt;span class="spacer"&gt;&lt;/span&gt;名詞になって
motio（動き, 運動）</t>
  </si>
  <si>
    <t>mocion（動き, 運動, 変化）</t>
  </si>
  <si>
    <t>14世紀後期
動く過程, 位置の変化</t>
  </si>
  <si>
    <t>16世紀
名詞を作る-ineが付いて
routine（いつもの道, 踏みならされた道, いつものやり方）</t>
  </si>
  <si>
    <t>1670年代
慣習的な行動の進め方</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</si>
  <si>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</si>
  <si>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</si>
  <si>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</si>
  <si>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mythus（神話）</t>
  </si>
  <si>
    <t>mythe（神話）</t>
  </si>
  <si>
    <t>1830年代
神話
&lt;span class="spacer"&gt;&lt;/span&gt;1840年から
でっちあげた話</t>
  </si>
  <si>
    <t>hypo（下に）＋thesis（置くこと, 命題）
hypothesis（基礎, 論証の基礎, 仮定）</t>
  </si>
  <si>
    <t>hypothese</t>
  </si>
  <si>
    <t>1590年代
特定の陳述
&lt;span class="spacer"&gt;&lt;/span&gt;1650年代
前提とされる仮定</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</si>
  <si>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</si>
  <si>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</si>
  <si>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</si>
  <si>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</si>
  <si>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1300年頃
clyent</t>
  </si>
  <si>
    <t>14世紀後期
他人の庇護を受けて生活するもの
&lt;span class="spacer"&gt;&lt;/span&gt;1400年頃
弁護士の依頼人</t>
  </si>
  <si>
    <t>1600年頃
特定の利益や事務を他者に委ねる顧客</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</si>
  <si>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</si>
  <si>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</si>
  <si>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</si>
  <si>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statista（政治家）</t>
  </si>
  <si>
    <t>statisticum（国政に関する講義）</t>
  </si>
  <si>
    <t>1770年代
国家または共同体の状態に関するデータを扱う学問
&lt;span class="spacer"&gt;&lt;/span&gt;1829年から
あらゆる種類の数値データを体系的に収集、分類したもの</t>
  </si>
  <si>
    <t>granum（穀粒, 種子, 小さな核）</t>
  </si>
  <si>
    <t>12世紀
grain
穀粒, 種子</t>
  </si>
  <si>
    <t>14世紀初頭
小さく硬い種子
穀物の種子
塩や砂などの粒
&lt;span class="spacer"&gt;&lt;/span&gt;14世紀後期
穀類
比喩的に最小限の量, きめ（きめ細かい）</t>
  </si>
  <si>
    <t>in（中に）+gradi（歩く, 進む）
ingredi（中に入る, 入って行く）
&lt;span class="spacer"&gt;&lt;/span&gt;現在分詞ingredientem（入り込むもの, 構成要素）</t>
  </si>
  <si>
    <t>15世紀初頭
混合物を構成するもの</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</si>
  <si>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</si>
  <si>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</si>
  <si>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</si>
  <si>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</si>
  <si>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</si>
  <si>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</si>
  <si>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</si>
  <si>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</si>
  <si>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</si>
  <si>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</si>
  <si>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</si>
  <si>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</si>
  <si>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</si>
  <si>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</si>
  <si>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</si>
  <si>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</si>
  <si>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</si>
  <si>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</si>
  <si>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</si>
  <si>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curios（心配している, 熱心な, 好奇心の強い）</t>
  </si>
  <si>
    <t>14世紀半ば 
微妙な, 洗練された
&lt;span class="spacer"&gt;&lt;/span&gt;14世紀後期
知りたがる, 好奇心が強い</t>
  </si>
  <si>
    <t>古典ギリシャ語</t>
  </si>
  <si>
    <t>drama（行動, 劇, 演劇作品）
&lt;span class="spacer"&gt;&lt;/span&gt;形容詞を作る-ikosが付いて
dramatikos（劇の, 演劇の）</t>
  </si>
  <si>
    <t>dramaticus（劇の, 演劇の）</t>
  </si>
  <si>
    <t>1580年代
演劇の</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</si>
  <si>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</si>
  <si>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</si>
  <si>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</si>
  <si>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</si>
  <si>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</si>
  <si>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</si>
  <si>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</si>
  <si>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</si>
  <si>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</si>
  <si>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</si>
  <si>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</si>
  <si>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</si>
  <si>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</si>
  <si>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</si>
  <si>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</si>
  <si>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</si>
  <si>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</si>
  <si>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</si>
  <si>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</si>
  <si>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</si>
  <si>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</si>
  <si>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</si>
  <si>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</si>
  <si>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</si>
  <si>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</si>
  <si>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</si>
  <si>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flectere（曲げる）
&lt;span class="spacer"&gt;&lt;/span&gt;過去分詞flexus（曲げられた）
&lt;span class="spacer"&gt;&lt;/span&gt;形容詞を作る-bilis（できる）が付いて
flexibilis（曲げることができる, 柔軟な）</t>
  </si>
  <si>
    <t>15世紀初頭
曲げることができる, 柔軟な</t>
  </si>
  <si>
    <t>brevis（短い, 小さい）</t>
  </si>
  <si>
    <t>1300年頃
bref（継続期間が短い）
&lt;span class="spacer"&gt;&lt;/span&gt;14世紀初頭
長さに関して短い</t>
  </si>
  <si>
    <t>ag</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</si>
  <si>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</si>
  <si>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</si>
  <si>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</si>
  <si>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videre（見る）
&lt;span class="spacer"&gt;&lt;/span&gt;過去分詞visus（見られたこと, 視覚）
&lt;span class="spacer"&gt;&lt;/span&gt;形容詞を作る-blis（できる）が付いて
visibilis（見ることができる）</t>
  </si>
  <si>
    <t>visible（見える）</t>
  </si>
  <si>
    <t>14世紀半ば
目に見える</t>
  </si>
  <si>
    <t>1550年代
待つ
&lt;span class="spacer"&gt;&lt;/span&gt;un（否定）＋expected（待ち望まれた, 予見された）
unexpected（予見されていなかった, 思いがけない）</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</si>
  <si>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</si>
  <si>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</si>
  <si>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</si>
  <si>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</si>
  <si>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</si>
  <si>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</si>
  <si>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</si>
  <si>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</si>
  <si>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</si>
  <si>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</si>
  <si>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1520年代
始まりの, 初期の</t>
  </si>
  <si>
    <t>1530年代
正確な, 厳密な</t>
  </si>
  <si>
    <t>cise</t>
  </si>
  <si>
    <t>prae（前に）+caedere（切る）
praecidere（あらかじめ切り落とす, 短くする）
&lt;span class="spacer"&gt;&lt;/span&gt;過去分詞praecisu（切り落とされた, 簡潔な）</t>
  </si>
  <si>
    <t>precisus</t>
  </si>
  <si>
    <t>14世紀
précis</t>
  </si>
  <si>
    <t>15世紀半ば
正確な, 厳密な, 誤りのない</t>
  </si>
  <si>
    <t>læt（遅い：lateの語源）
&lt;span class="spacer"&gt;&lt;/span&gt;比較級になって
lætra（より遅い）</t>
  </si>
  <si>
    <t>1200年頃
後の時期に属する</t>
  </si>
  <si>
    <t>1550年代
2つのうち後に言及された, 後者の</t>
  </si>
  <si>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</si>
  <si>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</si>
  <si>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committen
&lt;span class="spacer"&gt;&lt;/span&gt;14世紀後期
管理を委ねる</t>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</si>
  <si>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</si>
  <si>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</si>
  <si>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trace</t>
    <phoneticPr fontId="1"/>
  </si>
  <si>
    <t>tag7</t>
  </si>
  <si>
    <t>p7</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</si>
  <si>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</si>
  <si>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</si>
  <si>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</si>
  <si>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</si>
  <si>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</si>
  <si>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</si>
  <si>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pro（前へ）＋sequi（従う）</t>
  </si>
  <si>
    <t>*prosequare</t>
  </si>
  <si>
    <t>poursuir（追いかける, 続ける）</t>
  </si>
  <si>
    <t>pursuer</t>
  </si>
  <si>
    <t>13世紀後期
敵意をもって追いかける
&lt;span class="spacer"&gt;&lt;/span&gt;14世紀後期
道をたどる
追い求める, 得ようとする</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</si>
  <si>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</si>
  <si>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</si>
  <si>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</si>
  <si>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</si>
  <si>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</si>
  <si>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</si>
  <si>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*ster-（硬い）</t>
  </si>
  <si>
    <t>starian（じっと見る）</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</si>
  <si>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</si>
  <si>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</si>
  <si>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</si>
  <si>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</si>
  <si>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</si>
  <si>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</si>
  <si>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</si>
  <si>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</si>
  <si>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trans（越えて）＋ferre（運ぶ）
transferre（向こうへ運ぶ, 移す）</t>
  </si>
  <si>
    <t>transferer</t>
  </si>
  <si>
    <t>transferren
&lt;span class="spacer"&gt;&lt;/span&gt;14世紀後期
物を移す</t>
  </si>
  <si>
    <t>アイルランド語</t>
  </si>
  <si>
    <t>bodhairim（私は耳を聞こえなくする, 耳を塞ぐ）</t>
  </si>
  <si>
    <t>per（完全に）＋suadere（勧める）
persuadere（完全に勧める, 説得する）</t>
  </si>
  <si>
    <t>14世紀
persuader</t>
  </si>
  <si>
    <t>1510年代
〜だという意見や結論に導く
人に信じさせる
同意や行動に促す
説得する, 納得させる</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</si>
  <si>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</si>
  <si>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</si>
  <si>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</si>
  <si>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</si>
  <si>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</si>
  <si>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bredan（子を産ませる）</t>
  </si>
  <si>
    <t>13世紀半ば
子を産む
&lt;span class="spacer"&gt;&lt;/span&gt;14世紀半ば
家畜などを繁殖させて育てる</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</si>
  <si>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</si>
  <si>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</si>
  <si>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</si>
  <si>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</si>
  <si>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12世紀
reserver（取っておく, 差し控える）</t>
  </si>
  <si>
    <t>14世紀半ば
将来のために取っておく
&lt;span class="spacer"&gt;&lt;/span&gt;14世紀後期
自分のものとして保持する</t>
  </si>
  <si>
    <t>1935年
帳簿に記載する
予約する</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</si>
  <si>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</si>
  <si>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</si>
  <si>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</si>
  <si>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</si>
  <si>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</si>
  <si>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</si>
  <si>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</si>
  <si>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</si>
  <si>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</si>
  <si>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</si>
  <si>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</si>
  <si>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</si>
  <si>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</si>
  <si>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convey</t>
    <phoneticPr fontId="1"/>
  </si>
  <si>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</si>
  <si>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</si>
  <si>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</si>
  <si>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</si>
  <si>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</si>
  <si>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*steg-（柱, 杭）</t>
  </si>
  <si>
    <t>a（〜へ）＋tachier
atachier（柱に留めておく, 杭で固定する）</t>
  </si>
  <si>
    <t>14世紀半ば
法によって財産を差し押さえる
&lt;span class="spacer"&gt;&lt;/span&gt;1400年頃
留める, 取り付ける</t>
  </si>
  <si>
    <t>streccan（引き伸ばす, 広げる）</t>
  </si>
  <si>
    <t>strecchen
&lt;span class="spacer"&gt;&lt;/span&gt;1200年頃
手足を伸ばす
&lt;span class="spacer"&gt;&lt;/span&gt;14世紀後期
ぴんと張る, 引き伸ばす</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</si>
  <si>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</si>
  <si>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</si>
  <si>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</si>
  <si>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</si>
  <si>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</si>
  <si>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</si>
  <si>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</si>
  <si>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</si>
  <si>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</si>
  <si>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</si>
  <si>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</si>
  <si>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permit</t>
    <phoneticPr fontId="1"/>
  </si>
  <si>
    <t>per（前へ, 通って）＋mittere（送る, 放つ）
permittere（通して送る, 通して行かせる, 許す）</t>
  </si>
  <si>
    <t>permetre</t>
  </si>
  <si>
    <t>15世紀初頭
〜することを許す</t>
  </si>
  <si>
    <t>impress</t>
    <phoneticPr fontId="1"/>
  </si>
  <si>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</si>
  <si>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</si>
  <si>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</si>
  <si>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</si>
  <si>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</si>
  <si>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</si>
  <si>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</si>
  <si>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</si>
  <si>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</si>
  <si>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</si>
  <si>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fyrhtu（恐怖）</t>
  </si>
  <si>
    <t>fright（恐怖）＋en（動詞化）
&lt;span class="spacer"&gt;&lt;/span&gt;1660年代
恐怖させる</t>
  </si>
  <si>
    <t>import</t>
    <phoneticPr fontId="1"/>
  </si>
  <si>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</si>
  <si>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</si>
  <si>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</si>
  <si>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</si>
  <si>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</si>
  <si>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</si>
  <si>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</si>
  <si>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</si>
  <si>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monere（思い出させる, 警告する, 教える）
&lt;span class="spacer"&gt;&lt;/span&gt;名詞を作る-or（〜するもの）が付いて
monitor（思い出させるもの, 警告するもの, 監督者）</t>
  </si>
  <si>
    <t>1540年代
学校で秩序維持を任された上級生</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</si>
  <si>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</si>
  <si>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</si>
  <si>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</si>
  <si>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</si>
  <si>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1560年代
押し出す, 排除する, 取り除く
&lt;span class="spacer"&gt;&lt;/span&gt;1714年頃
不要なものとして排除する</t>
  </si>
  <si>
    <t>aise（快適さ, 喜び）
&lt;span class="spacer"&gt;&lt;/span&gt;動詞になって
aiser</t>
  </si>
  <si>
    <t>1300年頃
助ける, 援助する
&lt;span class="spacer"&gt;&lt;/span&gt;14世紀半ば
楽にする, 和らげる, 軽減する</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</si>
  <si>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</si>
  <si>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</si>
  <si>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</si>
  <si>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</si>
  <si>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</si>
  <si>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</si>
  <si>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</si>
  <si>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</si>
  <si>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</si>
  <si>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</si>
  <si>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</si>
  <si>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</si>
  <si>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</si>
  <si>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</si>
  <si>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</si>
  <si>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</si>
  <si>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</si>
  <si>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</si>
  <si>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sequi（従う, 続く）
&lt;span class="spacer"&gt;&lt;/span&gt;現在分詞sequentem</t>
  </si>
  <si>
    <t>sequentia（続くこと, 連続）</t>
  </si>
  <si>
    <t>14世紀後期
教会音楽用語</t>
  </si>
  <si>
    <t>1570年代
一定の順序で続く一連のもの
連続</t>
  </si>
  <si>
    <t>therapeuein（世話をする, 治療する）
&lt;span class="spacer"&gt;&lt;/span&gt;名詞になって
therapeia（治療, 世話）</t>
  </si>
  <si>
    <t>therapia（治療, 治療法）</t>
  </si>
  <si>
    <t>15世紀初頭
terapeucia（治療法, 治療学）</t>
  </si>
  <si>
    <t>1846年
疾病の医学的治療を扱う学問</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</si>
  <si>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</si>
  <si>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</si>
  <si>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</si>
  <si>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</si>
  <si>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</si>
  <si>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in（中に）＋cadere（落ちる）
incidere（中に落ちる, 降りかかる, 出来事として生じる）
&lt;span class="spacer"&gt;&lt;/span&gt;現在分詞incidentem</t>
  </si>
  <si>
    <t>13世紀
incident</t>
  </si>
  <si>
    <t>wit（知識, 知恵, 理解）＋nes（名詞化）
witnes（個人の知識に事実や出来事の証言, 証言する人）</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</si>
  <si>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</si>
  <si>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</si>
  <si>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</si>
  <si>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</si>
  <si>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*bher-（運ぶ）</t>
  </si>
  <si>
    <t>ゲルマン祖語</t>
  </si>
  <si>
    <t>*burthinjo-（運ばれるもの）</t>
  </si>
  <si>
    <t>byrðen（荷, 重さ, 負担）</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</si>
  <si>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</si>
  <si>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</si>
  <si>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</si>
  <si>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</si>
  <si>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</si>
  <si>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</si>
  <si>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</si>
  <si>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</si>
  <si>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</si>
  <si>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</si>
  <si>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</si>
  <si>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</si>
  <si>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</si>
  <si>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es（外に）＋warder（注意して見る）
eswarder（慎重な検討の後に決定する, 意見を述べる）</t>
  </si>
  <si>
    <t>awarder</t>
  </si>
  <si>
    <t>14世紀後期
awarden（注意深い観察の後に決定する）</t>
  </si>
  <si>
    <t>pri</t>
  </si>
  <si>
    <t>古ラテン語</t>
  </si>
  <si>
    <t>pri（前に, 以前に）</t>
  </si>
  <si>
    <t>priの比較級
prior（より前の, より優れた, より重要な）</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</si>
  <si>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</si>
  <si>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</si>
  <si>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</si>
  <si>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</si>
  <si>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</si>
  <si>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</si>
  <si>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</si>
  <si>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</si>
  <si>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</si>
  <si>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1660年代
&lt;span class="obsolete"&gt;物質の分割される最小部分（現在は廃用）&lt;/span&gt;
&lt;span class="spacer"&gt;&lt;/span&gt;1670年代
最小限度, 最小値</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</si>
  <si>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</si>
  <si>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</si>
  <si>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</si>
  <si>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</si>
  <si>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clewe（毛糸の玉）</t>
  </si>
  <si>
    <t>1590年代
複雑なことにおいて導きや指示を与えるもの, ヒント
&lt;span class="spacer"&gt;&lt;/span&gt;1620年代
道筋を示すもの
解決の手がかり</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</si>
  <si>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</si>
  <si>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</si>
  <si>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</si>
  <si>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virus（毒）</t>
  </si>
  <si>
    <t>14世紀後期
有害物質
膿</t>
  </si>
  <si>
    <t>kheir（手）＋ergon（仕事）
kheirourgos（手作業を行う者）
&lt;span class="spacer"&gt;&lt;/span&gt;kheirourgia（手作業, 手による治療）</t>
  </si>
  <si>
    <t>chirurgia（外科, 外科手術）</t>
  </si>
  <si>
    <t>surgerie</t>
  </si>
  <si>
    <t>sirgirie
&lt;span class="spacer"&gt;&lt;/span&gt;1300年頃
外科医の仕事, 手術</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</si>
  <si>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</si>
  <si>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</si>
  <si>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</si>
  <si>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</si>
  <si>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</si>
  <si>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</si>
  <si>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</si>
  <si>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</si>
  <si>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</si>
  <si>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</si>
  <si>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</si>
  <si>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</si>
  <si>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中世ラテン語</t>
    <rPh sb="0" eb="2">
      <t>チュウセイ</t>
    </rPh>
    <rPh sb="5" eb="6">
      <t>ゴ</t>
    </rPh>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</si>
  <si>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</si>
  <si>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</si>
  <si>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</si>
  <si>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</si>
  <si>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</si>
  <si>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</si>
  <si>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</si>
  <si>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</si>
  <si>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</si>
  <si>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</si>
  <si>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</si>
  <si>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</si>
  <si>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</si>
  <si>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</si>
  <si>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</si>
  <si>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</si>
  <si>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1862年
他の動物を捕食する動物, 捕食動物</t>
  </si>
  <si>
    <t>træppe（罠）</t>
  </si>
  <si>
    <t>trappe（罠）</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</si>
  <si>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</si>
  <si>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</si>
  <si>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</si>
  <si>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</si>
  <si>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</si>
  <si>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</si>
  <si>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</si>
  <si>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</si>
  <si>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</si>
  <si>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</si>
  <si>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</si>
  <si>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</si>
  <si>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</si>
  <si>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biais（傾斜, 斜め）</t>
  </si>
  <si>
    <t>com（共に）+operari（働く）</t>
  </si>
  <si>
    <t>cooperari（共に働く, 協力する）
&lt;span class="spacer"&gt;&lt;/span&gt;名詞を作る-ioが付いて
cooperatio（共に働くこと）</t>
  </si>
  <si>
    <t>coopération</t>
  </si>
  <si>
    <t>1620年代
一つの目的に向かって共に働く行為</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</si>
  <si>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</si>
  <si>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</si>
  <si>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</si>
  <si>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</si>
  <si>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</si>
  <si>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</si>
  <si>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</si>
  <si>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</si>
  <si>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</si>
  <si>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</si>
  <si>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</si>
  <si>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</si>
  <si>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re（再び, 繰り返し）+putare（判断する）
&lt;span class="spacer"&gt;&lt;/span&gt;名詞を作る-ioが付いて
reputatio（考慮, 熟考）</t>
  </si>
  <si>
    <t>reputation</t>
  </si>
  <si>
    <t>14世紀中頃
信用, 良い評判, 尊敬</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</si>
  <si>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</si>
  <si>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</si>
  <si>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</si>
  <si>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</si>
  <si>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</si>
  <si>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</si>
  <si>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</si>
  <si>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</si>
  <si>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</si>
  <si>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</si>
  <si>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</si>
  <si>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</si>
  <si>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</si>
  <si>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</si>
  <si>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</si>
  <si>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</si>
  <si>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</si>
  <si>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</si>
  <si>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</si>
  <si>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</si>
  <si>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</si>
  <si>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</si>
  <si>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</si>
  <si>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</si>
  <si>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</si>
  <si>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</si>
  <si>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</si>
  <si>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</si>
  <si>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</si>
  <si>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</si>
  <si>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aequus（等しい）＋valere（価値がある）
aequivalere（同等である）
&lt;span class="spacer"&gt;&lt;/span&gt;現在分詞aequivalentem（同等の, 等価の）</t>
  </si>
  <si>
    <t>15世紀初頭
価値・力・効果において等しい</t>
  </si>
  <si>
    <t>racionel</t>
  </si>
  <si>
    <t>14世紀後期
理性に関する, 理性から生じる
&lt;span class="spacer"&gt;&lt;/span&gt;15世紀半ば
人について、理性を備えた</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</si>
  <si>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</si>
  <si>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</si>
  <si>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</si>
  <si>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</si>
  <si>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</si>
  <si>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</si>
  <si>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</si>
  <si>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</si>
  <si>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15世紀半ば
広大な, 豊富な</t>
  </si>
  <si>
    <t>1530年代
よくある
&lt;span class="spacer"&gt;&lt;/span&gt;1600年頃
頻繁に繰り返される</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</si>
  <si>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</si>
  <si>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</si>
  <si>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</si>
  <si>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</si>
  <si>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13世紀
intense</t>
  </si>
  <si>
    <t>15世紀初頭
性質や状況が極端な, 激しい</t>
  </si>
  <si>
    <t>mēnen（意図する）</t>
    <rPh sb="6" eb="8">
      <t>イト</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</si>
  <si>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</si>
  <si>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</si>
  <si>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</si>
  <si>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</si>
  <si>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</si>
  <si>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</si>
  <si>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15世紀初頭
消された, 消し止められた</t>
  </si>
  <si>
    <t>1580年代
家系や世襲の称号が絶えた, 断絶した
&lt;span class="spacer"&gt;&lt;/span&gt;1690年代
動植物の種が絶滅した</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</si>
  <si>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</si>
  <si>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</si>
  <si>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</si>
  <si>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</si>
  <si>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</si>
  <si>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</si>
  <si>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</si>
  <si>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</si>
  <si>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</si>
  <si>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</si>
  <si>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</si>
  <si>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</si>
  <si>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</si>
  <si>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</si>
  <si>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</si>
  <si>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</si>
  <si>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</si>
  <si>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</si>
  <si>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forð（前へ, 先へ）
&lt;span class="spacer"&gt;&lt;/span&gt;and so forth（〜など）は古英語から存在する</t>
  </si>
  <si>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</si>
  <si>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</si>
  <si>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</si>
  <si>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</si>
  <si>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</si>
  <si>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</si>
  <si>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</si>
  <si>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1610年代
支配する</t>
  </si>
  <si>
    <t>*wer-（覆う）</t>
  </si>
  <si>
    <t>15世紀初頭
財産の所有権が正しいことを示す保証</t>
  </si>
  <si>
    <t>1670年代
保証人
&lt;span class="spacer"&gt;&lt;/span&gt;1791年、動詞になって
保証人となる, 保証する</t>
  </si>
  <si>
    <t>*mel-（柔らかい）</t>
  </si>
  <si>
    <t>meltan（熱によって溶ける）</t>
  </si>
  <si>
    <t>melten
&lt;span class="spacer"&gt;&lt;/span&gt;14世紀初頭
溶けるという意味から比喩的に、心を和らげる, なごむ</t>
  </si>
  <si>
    <t>1690年代
口の中で溶ける</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</si>
  <si>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</si>
  <si>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</si>
  <si>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</si>
  <si>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</si>
  <si>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</si>
  <si>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</si>
  <si>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</si>
  <si>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</si>
  <si>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</si>
  <si>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</si>
  <si>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</si>
  <si>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</si>
  <si>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</si>
  <si>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urgere（強く押す, 駆り立てる）</t>
  </si>
  <si>
    <t>1550年代
押す, 駆り立てる, 前へ押し出す</t>
  </si>
  <si>
    <t>loan（貸付, ローン）と関連させて覚える。</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</si>
  <si>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</si>
  <si>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</si>
  <si>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re（後ろへ）＋stringere（引っ張る）
restringere（抑制する, 制限する）
&lt;span class="spacer"&gt;&lt;/span&gt;過去分詞restrictus</t>
  </si>
  <si>
    <t>1530年代
制限する</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</si>
  <si>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</si>
  <si>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</si>
  <si>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</si>
  <si>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</si>
  <si>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</si>
  <si>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com（共に）＋panis（パン）</t>
  </si>
  <si>
    <t>companio（パンを分かち合う仲間）</t>
  </si>
  <si>
    <t>compagnon（仲間）
&lt;span class="spacer"&gt;&lt;/span&gt;à（〜へ）＋compaignier
acompaignier（仲間として連れて行く）</t>
  </si>
  <si>
    <t>15世紀初頭
〜と行動を共にする, 同行する</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</si>
  <si>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</si>
  <si>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</si>
  <si>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inodiare（嫌悪感を抱かせる）</t>
  </si>
  <si>
    <t>enoiier（怒らせる）
anuier（退屈な存在になる）</t>
  </si>
  <si>
    <t>anuier</t>
  </si>
  <si>
    <t>13世紀後期
anuier（煩わせる, 悩ませる, 不安にさせる）</t>
  </si>
  <si>
    <t>danger</t>
  </si>
  <si>
    <t>domus（家）
&lt;span class="spacer"&gt;&lt;/span&gt;ここに-nus（〜に関わる者）が付いて
dominus（家の主人, 領主）</t>
  </si>
  <si>
    <t>*dominarium（主人や領主の権力）</t>
  </si>
  <si>
    <t>15世紀後期
en（〜させる）＋danger（危険）</t>
  </si>
  <si>
    <t>know</t>
  </si>
  <si>
    <t>ledge</t>
  </si>
  <si>
    <t>on（〜に）＋cnawan（認識する）
oncnawan（認識に至る）</t>
  </si>
  <si>
    <t>16世紀までに
中英語のaknow, knowlechenは廃用になる
acknowledgeのみが使われる</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</si>
  <si>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</si>
  <si>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</si>
  <si>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</si>
  <si>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</si>
  <si>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</si>
  <si>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</si>
  <si>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</si>
  <si>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</si>
  <si>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</si>
  <si>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</si>
  <si>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</si>
  <si>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</si>
  <si>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</si>
  <si>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</si>
  <si>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</si>
  <si>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</si>
  <si>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</si>
  <si>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14世紀後期
割り当てる</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</si>
  <si>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</si>
  <si>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</si>
  <si>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</si>
  <si>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</si>
  <si>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verse</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</si>
  <si>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</si>
  <si>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</si>
  <si>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</si>
  <si>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</si>
  <si>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</si>
  <si>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</si>
  <si>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</si>
  <si>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</si>
  <si>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skirra（怖がらせる, 恐れて避ける）</t>
  </si>
  <si>
    <t>12世紀後期
skerren（人を怖がらせる）</t>
  </si>
  <si>
    <t>1590年代
怖がらせる, 脅す</t>
  </si>
  <si>
    <t>*aim-（コピーする）</t>
  </si>
  <si>
    <t>imitari（まねをする, 描写する）
&lt;span class="spacer"&gt;&lt;/span&gt;過去分詞imitatus</t>
  </si>
  <si>
    <t>1530年代
例にならう, 行動ややり方をまねる</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</si>
  <si>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</si>
  <si>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</si>
  <si>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</si>
  <si>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</si>
  <si>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</si>
  <si>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*sem-（一つ, 共に）</t>
  </si>
  <si>
    <t>semol（一緒に）
&lt;span class="spacer"&gt;&lt;/span&gt;similis（同じ種類の, 似ている）
&lt;span class="spacer"&gt;&lt;/span&gt;simulare（似せる, 模倣する）</t>
  </si>
  <si>
    <t>14世紀半ば
〜に似ている</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</si>
  <si>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</si>
  <si>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</si>
  <si>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</si>
  <si>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</si>
  <si>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</si>
  <si>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</si>
  <si>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com（共に）＋labi（滑る, 落ちる）
collabi（共に滑る, 共に落ちる）
&lt;span class="spacer"&gt;&lt;/span&gt;過去分詞collapsus</t>
  </si>
  <si>
    <t>1732年
支えを失ってバラバラに崩れ落ちる, 崩壊する</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</si>
  <si>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</si>
  <si>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</si>
  <si>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</si>
  <si>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*tris（三）
*tri-st-i-（第三者, 利害のない証人）</t>
  </si>
  <si>
    <t>protester</t>
  </si>
  <si>
    <t>protesten
&lt;span class="spacer"&gt;&lt;/span&gt;15世紀半ば
正式に宣言する, 証言する</t>
  </si>
  <si>
    <t>own（所有する）やought to（〜すべき）と関連させて覚える。</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</si>
  <si>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</si>
  <si>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</si>
  <si>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</si>
  <si>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</si>
  <si>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</si>
  <si>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</si>
  <si>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</si>
  <si>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</si>
  <si>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</si>
  <si>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</si>
  <si>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</si>
  <si>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</si>
  <si>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</si>
  <si>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</si>
  <si>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</si>
  <si>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*weid-（見る, 知る）</t>
  </si>
  <si>
    <t>*wissaz</t>
  </si>
  <si>
    <t>wis（学識のある, 賢明な：wiseの語源）
&lt;span class="spacer"&gt;&lt;/span&gt;wis（賢明な）＋dom（名詞化）
wisdom（賢明さ, 知恵, 知識, 学習, 経験）</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</si>
  <si>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</si>
  <si>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</si>
  <si>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</si>
  <si>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</si>
  <si>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</si>
  <si>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</si>
  <si>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</si>
  <si>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</si>
  <si>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</si>
  <si>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</si>
  <si>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</si>
  <si>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</si>
  <si>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ex（外に）＋legere（選ぶ）
eligere（選び出す）</t>
  </si>
  <si>
    <t>elire（選び出す）
&lt;span class="spacer"&gt;&lt;/span&gt;過去分詞eslite（選ばれたもの）</t>
  </si>
  <si>
    <t>近代フランス語</t>
  </si>
  <si>
    <t>élite（選抜）</t>
  </si>
  <si>
    <t>1823年
elite（選ばれた集団, 精鋭）</t>
  </si>
  <si>
    <t>lecgan（地面に置く, 横たえる：layの語源）</t>
  </si>
  <si>
    <t>14世紀後期
lay＋er（〜する人, 〜するもの）
何かを置く人, 敷くもの
石を敷く人, 石工</t>
  </si>
  <si>
    <t>1610年代
表面に塗り重ねられた材料の厚み, 層</t>
  </si>
  <si>
    <t>mot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</si>
  <si>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</si>
  <si>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</si>
  <si>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</si>
  <si>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</si>
  <si>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prōtos（第一の）
prōteios（最も重要な）</t>
  </si>
  <si>
    <t xml:space="preserve">1844年
フランス語から借用
</t>
  </si>
  <si>
    <t>1907年
全ての生物の重要な一部を形成する有機化合物の一群
タンパク質</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</si>
  <si>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</si>
  <si>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</si>
  <si>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</si>
  <si>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</si>
  <si>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</si>
  <si>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15世紀後期
行動する者, 行為者</t>
  </si>
  <si>
    <t>1550年代
現象を引き起こすあらゆる自然の力
作用物質
&lt;span class="spacer"&gt;&lt;/span&gt;1590年代
代理人</t>
  </si>
  <si>
    <t>1916年までに
スパイ, 秘密工作員</t>
  </si>
  <si>
    <t>globus（丸い塊, 球, 人の群れ, 人だかり）</t>
  </si>
  <si>
    <t>globe（球, 丸い塊）</t>
  </si>
  <si>
    <t>14世紀後期
大きな塊
&lt;span class="spacer"&gt;&lt;/span&gt;15世紀半ば
球状の固体, 球</t>
  </si>
  <si>
    <t>1550年代
惑星としての地球
地球儀, 天球儀</t>
  </si>
  <si>
    <t>hæfen（港, 避難港）</t>
  </si>
  <si>
    <t>1200年頃
避難所, 安息地, 保護の場</t>
  </si>
  <si>
    <t>ræw（列, 連続, 生垣）</t>
  </si>
  <si>
    <t>reue（直線上に並んだ人や物の連なり）
&lt;span class="spacer"&gt;&lt;/span&gt;14世紀半ば
一列に並んだ家の連なり</t>
  </si>
  <si>
    <t>1710年までに
劇場の座席の列</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</si>
  <si>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</si>
  <si>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</si>
  <si>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</si>
  <si>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</si>
  <si>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</si>
  <si>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</si>
  <si>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</si>
  <si>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</si>
  <si>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</si>
  <si>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</si>
  <si>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</si>
  <si>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</si>
  <si>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</si>
  <si>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</si>
  <si>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</si>
  <si>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</si>
  <si>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</si>
  <si>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</si>
  <si>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</si>
  <si>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</si>
  <si>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</si>
  <si>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</si>
  <si>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*wer-（知覚する, 警戒する）</t>
  </si>
  <si>
    <t>*wardon（守る）</t>
  </si>
  <si>
    <t>*wardon</t>
  </si>
  <si>
    <t>garder（保持する, 保護する）</t>
  </si>
  <si>
    <t>garde（守護者, 見守ること）</t>
  </si>
  <si>
    <t>15世紀初頭
見張りをする者
世話, 監視
防具</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</si>
  <si>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</si>
  <si>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</si>
  <si>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</si>
  <si>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</si>
  <si>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</si>
  <si>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</si>
  <si>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vorce</t>
  </si>
  <si>
    <t>dis（離れて）＋vertere（回す, 向ける）
divertere（異なる方向へ向ける, 分離する, 夫のもとを去る）</t>
  </si>
  <si>
    <t>14世紀
divorce</t>
  </si>
  <si>
    <t>14世紀後期
婚姻の法的解消, 離婚
&lt;span class="spacer"&gt;&lt;/span&gt;15世紀初頭
完全な分離</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</si>
  <si>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</si>
  <si>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</si>
  <si>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</si>
  <si>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</si>
  <si>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</si>
  <si>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</si>
  <si>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</si>
  <si>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</si>
  <si>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</si>
  <si>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</si>
  <si>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</si>
  <si>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</si>
  <si>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</si>
  <si>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</si>
  <si>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</si>
  <si>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</si>
  <si>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</si>
  <si>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</si>
  <si>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</si>
  <si>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</si>
  <si>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</si>
  <si>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</si>
  <si>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</si>
  <si>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guide（導く）＋line（線）
&lt;span class="spacer"&gt;&lt;/span&gt;1785年
何かを切断する前に引かれた補助線
&lt;span class="spacer"&gt;&lt;/span&gt;1846年
熱気球を操縦するためのロープ</t>
  </si>
  <si>
    <t>1948年までに
指針, 政策などの指し示す方向</t>
  </si>
  <si>
    <t>plat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</si>
  <si>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</si>
  <si>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</si>
  <si>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</si>
  <si>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</si>
  <si>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</si>
  <si>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</si>
  <si>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</si>
  <si>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</si>
  <si>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</si>
  <si>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</si>
  <si>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</si>
  <si>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*gel-（冷たい, 凍る）</t>
  </si>
  <si>
    <t>glace（氷）</t>
  </si>
  <si>
    <t>サヴォワ方言glacière（移動する氷）
&lt;span class="spacer"&gt;&lt;/span&gt;16世紀
glacier</t>
  </si>
  <si>
    <t>1744年
移動する氷</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</si>
  <si>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</si>
  <si>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</si>
  <si>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</si>
  <si>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</si>
  <si>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</si>
  <si>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</si>
  <si>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</si>
  <si>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</si>
  <si>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</si>
  <si>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</si>
  <si>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</si>
  <si>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</si>
  <si>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</si>
  <si>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</si>
  <si>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</si>
  <si>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</si>
  <si>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</si>
  <si>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</si>
  <si>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</si>
  <si>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</si>
  <si>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</si>
  <si>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</si>
  <si>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</si>
  <si>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</si>
  <si>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</si>
  <si>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</si>
  <si>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</si>
  <si>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17世紀
classique</t>
  </si>
  <si>
    <t>1610年代
最高階級の
模範として認められた
&lt;span class="spacer"&gt;&lt;/span&gt;1620年代
ギリシャやローマ古典期の定番の著者（古典作家）に属する</t>
  </si>
  <si>
    <t>liber</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</si>
  <si>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</si>
  <si>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</si>
  <si>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</si>
  <si>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</si>
  <si>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</si>
  <si>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</si>
  <si>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</si>
  <si>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</si>
  <si>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</si>
  <si>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</si>
  <si>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</si>
  <si>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</si>
  <si>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</si>
  <si>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</si>
  <si>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primit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</si>
  <si>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</si>
  <si>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</si>
  <si>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</si>
  <si>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</si>
  <si>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un（否定）＋familiar（よく知っている, よく知られている）
&lt;span class="spacer"&gt;&lt;/span&gt;1590年代
あまり知られていない
親しくない
頻繁に使うわけではないので慣れていない</t>
  </si>
  <si>
    <t>sub</t>
  </si>
  <si>
    <t>tl</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</si>
  <si>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</si>
  <si>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</si>
  <si>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</si>
  <si>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</si>
  <si>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</si>
  <si>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</si>
  <si>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mare（海, 海水）
&lt;span class="spacer"&gt;&lt;/span&gt;形容詞を作る-inusが付いて
marinus（海の）</t>
  </si>
  <si>
    <t>marin（海の）</t>
  </si>
  <si>
    <t>15世紀半ば
海に関する</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</si>
  <si>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</si>
  <si>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</si>
  <si>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</si>
  <si>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</si>
  <si>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</si>
  <si>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1660年代
気が進まない, 義務や命令に抗う</t>
  </si>
  <si>
    <t>tempus（時間, 季節）
&lt;span class="spacer"&gt;&lt;/span&gt;形容詞を作る-ariusが付いて
temporarius（短時間続く, 季節的な）</t>
  </si>
  <si>
    <t>1540年代
一時的な</t>
  </si>
  <si>
    <t>gylt（犯罪, 罪）
&lt;span class="spacer"&gt;&lt;/span&gt;gyltig（罪を犯した）</t>
  </si>
  <si>
    <t>13世紀後期
法律用語で、指定された何らかの罪を犯した</t>
  </si>
  <si>
    <t>1590年代
罪悪感のある</t>
  </si>
  <si>
    <t>roy</t>
  </si>
  <si>
    <t>*reg-（まっすぐ導く）</t>
  </si>
  <si>
    <t>rex（王）
&lt;span class="spacer"&gt;&lt;/span&gt;形容詞を作る-alisが付いて
regalis（王の, 王らしい, 王室の）</t>
  </si>
  <si>
    <t>roial（王の）</t>
  </si>
  <si>
    <t>13世紀半ば
王にふさわしい
&lt;span class="spacer"&gt;&lt;/span&gt;14世紀後期
王に関する</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</si>
  <si>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</si>
  <si>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</si>
  <si>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</si>
  <si>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</si>
  <si>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</si>
  <si>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*kerd-（心）</t>
  </si>
  <si>
    <t>credere（信じる, 信用する）＋bilis（〜できる）
&lt;span class="spacer"&gt;&lt;/span&gt;credibilis（信用できる）
&lt;span class="spacer"&gt;&lt;/span&gt;in（否定）＋credibilis（信用できる）
incredibilis（信じられない）</t>
  </si>
  <si>
    <t>15世紀初頭
信じがたい</t>
  </si>
  <si>
    <t>acer（鋭い, 尖った, 熱心な）</t>
  </si>
  <si>
    <t>*acrus</t>
  </si>
  <si>
    <t>aigre（酸性の, 熱心な, 活動的な）</t>
  </si>
  <si>
    <t xml:space="preserve">13世紀後期
懸命な, 熱烈な, 激しい
&lt;span class="spacer"&gt;&lt;/span&gt;14世紀初頭
強い欲望に満ちた, 熱望して </t>
  </si>
  <si>
    <t>quate</t>
  </si>
  <si>
    <t>1610年代
必要とされるものや望まれるものに等しい
十分な
&lt;span class="spacer"&gt;&lt;/span&gt;1900年までに
かろうじて十分な, 平凡な（ややネガティブな意味）</t>
  </si>
  <si>
    <t>*wegh-（行く, 乗り物で運ぶ）</t>
  </si>
  <si>
    <t>via（道, 道路, 〜の経由で）</t>
  </si>
  <si>
    <t xml:space="preserve">1779年
〜を経由して, 〜を通って </t>
  </si>
  <si>
    <t>sess</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</si>
  <si>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</si>
  <si>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</si>
  <si>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</si>
  <si>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</si>
  <si>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</si>
  <si>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</si>
  <si>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aprover（承認する, 賛成する）</t>
  </si>
  <si>
    <t>approven
&lt;span class="spacer"&gt;&lt;/span&gt;1300年頃
実証する
&lt;span class="spacer"&gt;&lt;/span&gt;14世紀後期
良いものとして認める
賛成する
承認する</t>
  </si>
  <si>
    <t>remark</t>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</si>
  <si>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</si>
  <si>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</si>
  <si>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ponere（置く, 配置する）</t>
    <rPh sb="7" eb="8">
      <t>オ</t>
    </rPh>
    <rPh sb="11" eb="13">
      <t>ハイチ</t>
    </rPh>
    <phoneticPr fontId="1"/>
  </si>
  <si>
    <t>pausare（止まる, 休む, 休ませる）</t>
    <rPh sb="8" eb="9">
      <t>ト</t>
    </rPh>
    <rPh sb="13" eb="14">
      <t>ヤス</t>
    </rPh>
    <rPh sb="17" eb="18">
      <t>ヤス</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</si>
  <si>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</si>
  <si>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</si>
  <si>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</si>
  <si>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</si>
  <si>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</si>
  <si>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</si>
  <si>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hibit</t>
  </si>
  <si>
    <t>ex（外に）＋habere（持つ）
exhibere（示す, 展示する）
&lt;span class="spacer"&gt;&lt;/span&gt;過去分詞exhibitus</t>
  </si>
  <si>
    <t>15世紀半ば
見えるように出す, 提示する</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</si>
  <si>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</si>
  <si>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</si>
  <si>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</si>
  <si>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</si>
  <si>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</si>
  <si>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</si>
  <si>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</si>
  <si>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</si>
  <si>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</si>
  <si>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</si>
  <si>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</si>
  <si>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</si>
  <si>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15世紀半ば
短く素早い音が出るように叩く
素早く突然の動作で現れる</t>
  </si>
  <si>
    <t>1570年代
ポンと鳴る</t>
  </si>
  <si>
    <t>pila（柱）</t>
  </si>
  <si>
    <t>pile（積み重ね, 山）</t>
  </si>
  <si>
    <t>1400年頃
積み上げる</t>
  </si>
  <si>
    <t>greeting card（季節のあいさつ状）と関連させて覚える。</t>
  </si>
  <si>
    <t>graten（接触する, 扱う, ハープを奏でる, 声をかける, 挨拶する, 攻撃する）
&lt;span class="obsolete"&gt;古英語ではさまざまな意味での接触を意味していた&lt;/span&gt;</t>
  </si>
  <si>
    <t>apo</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</si>
  <si>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</si>
  <si>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</si>
  <si>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</si>
  <si>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</si>
  <si>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frustra（無駄に, 誤って）
&lt;span class="spacer"&gt;&lt;/span&gt;動詞になって
frustrari（無駄にする, 欺く）
&lt;span class="spacer"&gt;&lt;/span&gt;過去分詞frustratus</t>
  </si>
  <si>
    <t>15世紀半ば
無に帰する, 効果の発揮や何かの成就を妨げる</t>
  </si>
  <si>
    <t>lieve</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</si>
  <si>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</si>
  <si>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</si>
  <si>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</si>
  <si>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</si>
  <si>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</si>
  <si>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</si>
  <si>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</si>
  <si>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</si>
  <si>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</si>
  <si>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desevire（よい奉仕をするから褒美を受ける資格がある）</t>
  </si>
  <si>
    <t>deservir（値する, 価値がある, 報いに値する）</t>
  </si>
  <si>
    <t>13世紀半ば
報いに値する, 〜の価値がある</t>
  </si>
  <si>
    <t>appearと関連させて覚える。</t>
  </si>
  <si>
    <t>14世紀後期
piren（じっと見る）
&lt;span class="spacer"&gt;&lt;/span&gt;aperen（見える, 現れる：appearの語源）の短縮形perenの影響を受けている。</t>
  </si>
  <si>
    <t>1590年代
じっと見る, 凝視する</t>
  </si>
  <si>
    <t>feat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</si>
  <si>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</si>
  <si>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</si>
  <si>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</si>
  <si>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</si>
  <si>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</si>
  <si>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</si>
  <si>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</si>
  <si>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</si>
  <si>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</si>
  <si>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</si>
  <si>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</si>
  <si>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</si>
  <si>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weddian（誓う, 結婚する）</t>
  </si>
  <si>
    <t>wedden（結婚する）</t>
  </si>
  <si>
    <t>light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</si>
  <si>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</si>
  <si>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</si>
  <si>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</si>
  <si>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</si>
  <si>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1815年
後ろから押すことで持ち上げる・高める</t>
  </si>
  <si>
    <t>dure</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</si>
  <si>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</si>
  <si>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</si>
  <si>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</si>
  <si>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</si>
  <si>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</si>
  <si>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</si>
  <si>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</si>
  <si>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</si>
  <si>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</si>
  <si>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</si>
  <si>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</si>
  <si>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</si>
  <si>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</si>
  <si>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</si>
  <si>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</si>
  <si>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</si>
  <si>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</si>
  <si>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</si>
  <si>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</si>
  <si>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</si>
  <si>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</si>
  <si>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</si>
  <si>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</si>
  <si>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</si>
  <si>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</si>
  <si>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</si>
  <si>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</si>
  <si>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</si>
  <si>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</si>
  <si>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</si>
  <si>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</si>
  <si>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</si>
  <si>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</si>
  <si>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</si>
  <si>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pro（前方に）＋habere（持つ）
prohibere（引きとめる, 抑える, 防ぐ）
&lt;span class="spacer"&gt;&lt;/span&gt;過去分詞prohibitus</t>
  </si>
  <si>
    <t>prohibiten
&lt;span class="spacer"&gt;&lt;/span&gt;15世紀初頭
権威によって禁ずる, 禁止する</t>
  </si>
  <si>
    <t>compose</t>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</si>
  <si>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</si>
  <si>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</si>
  <si>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</si>
  <si>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</si>
  <si>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</si>
  <si>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mis+understand＝理解をミスすると覚える。</t>
    <rPh sb="15" eb="17">
      <t>リカイ</t>
    </rPh>
    <rPh sb="23" eb="24">
      <t>オボ</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</si>
  <si>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</si>
  <si>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</si>
  <si>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</si>
  <si>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</si>
  <si>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</si>
  <si>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</si>
  <si>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</si>
  <si>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</si>
  <si>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</si>
  <si>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</si>
  <si>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</si>
  <si>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</si>
  <si>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</si>
  <si>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</si>
  <si>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</si>
  <si>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</si>
  <si>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</si>
  <si>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</si>
  <si>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</si>
  <si>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</si>
  <si>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</si>
  <si>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</si>
  <si>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</si>
  <si>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</si>
  <si>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qualis（どのような性質の）＋facere（行う, 作る）</t>
    <rPh sb="12" eb="14">
      <t>セイシツ</t>
    </rPh>
    <rPh sb="24" eb="25">
      <t>オコナ</t>
    </rPh>
    <rPh sb="28" eb="29">
      <t>ツク</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</si>
  <si>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</si>
  <si>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</si>
  <si>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</si>
  <si>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</si>
  <si>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</si>
  <si>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</si>
  <si>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</si>
  <si>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enthusiasmus</t>
  </si>
  <si>
    <t>16世紀
enthousiasme</t>
  </si>
  <si>
    <t>1650年代
自分たちは神からの啓示があるという自負による過度な宗教的感情
&lt;span class="spacer"&gt;&lt;/span&gt;1716年までに
熱意, 熱狂</t>
  </si>
  <si>
    <t>phases</t>
  </si>
  <si>
    <t>1705年
月の位相
特定の時期に月が見せる周期的に繰り返される特定の見え方
&lt;span class="spacer"&gt;&lt;/span&gt;1841年までに
一般的な意味で、段階, 局面, 様相</t>
  </si>
  <si>
    <t>modus（尺度, 方法）</t>
  </si>
  <si>
    <t>14世紀後期
方法</t>
  </si>
  <si>
    <t>1660年代
行為や実行の仕方
物事が行われる方式</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</si>
  <si>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</si>
  <si>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</si>
  <si>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</si>
  <si>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13世紀
gravité（真面目さ）</t>
  </si>
  <si>
    <t>1500年頃
重み, 真面目さ, 重要性
&lt;span class="spacer"&gt;&lt;/span&gt;1620年代
地球の引力による地上の物体のした方向への加速度
引力, 重力</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</si>
  <si>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</si>
  <si>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</si>
  <si>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</si>
  <si>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</si>
  <si>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</si>
  <si>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</si>
  <si>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aster（星）＋eidos（形をした, 〜のような）
asteroeides（星のような, 星状の）</t>
  </si>
  <si>
    <t>1802年
火星と木星の間に多く存在する小惑星
（イギリス人天文学者ウィリアム・ハーシェルによってasteroeidesから造語された）</t>
  </si>
  <si>
    <t>cor（心, 心臓）</t>
  </si>
  <si>
    <t>cor（心臓, 果実や野菜の芯）</t>
  </si>
  <si>
    <t>14世紀初頭
何らかのものの中心
最も内側にある部分</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</si>
  <si>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</si>
  <si>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</si>
  <si>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</si>
  <si>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</si>
  <si>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</si>
  <si>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</si>
  <si>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</si>
  <si>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</si>
  <si>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</si>
  <si>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</si>
  <si>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</si>
  <si>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</si>
  <si>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palla（球）＋maglio（木槌, ハンマー）
pallamaglio（木槌で球を打つゴルフのような競技）</t>
  </si>
  <si>
    <t>pallemaille（ペルメル）</t>
  </si>
  <si>
    <t>1951年から
歩行者用に整備された都市の通り
&lt;span class="spacer"&gt;&lt;/span&gt;1962年から
囲いのある屋内型商業施設</t>
  </si>
  <si>
    <t>grossus（厚い, 粗い）</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</si>
  <si>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</si>
  <si>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</si>
  <si>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</si>
  <si>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</si>
  <si>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umor（体液）</t>
  </si>
  <si>
    <t>humour（医学的体液）</t>
  </si>
  <si>
    <t>14世紀半ば
動物または植物の体液</t>
  </si>
  <si>
    <t>instinct</t>
    <phoneticPr fontId="1"/>
  </si>
  <si>
    <t>stinct</t>
  </si>
  <si>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</si>
  <si>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</si>
  <si>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</si>
  <si>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</si>
  <si>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</si>
  <si>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</si>
  <si>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</si>
  <si>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</si>
  <si>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</si>
  <si>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</si>
  <si>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</si>
  <si>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</si>
  <si>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</si>
  <si>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</si>
  <si>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</si>
  <si>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</si>
  <si>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</si>
  <si>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</si>
  <si>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</si>
  <si>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</si>
  <si>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</si>
  <si>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</si>
  <si>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</si>
  <si>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</si>
  <si>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</si>
  <si>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</si>
  <si>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</si>
  <si>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*sta-（立つ）</t>
    <rPh sb="6" eb="7">
      <t>タ</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</si>
  <si>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</si>
  <si>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</si>
  <si>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</si>
  <si>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</si>
  <si>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</si>
  <si>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</si>
  <si>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</si>
  <si>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</si>
  <si>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</si>
  <si>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</si>
  <si>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</si>
  <si>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</si>
  <si>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</si>
  <si>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scamu（恥によって引き起こされる困惑, 恥ずべき状況, 不名誉な状態, 侮辱）</t>
  </si>
  <si>
    <t>1300年頃
慎み, 内気, 礼儀や端正さへの配慮</t>
  </si>
  <si>
    <t>1580年代
恥ずべき物や人</t>
  </si>
  <si>
    <t>droug</t>
  </si>
  <si>
    <t>ht</t>
  </si>
  <si>
    <t>*dreug-（乾いた）＋itho（名詞化）
*drugothaz
&lt;span class="spacer"&gt;&lt;/span&gt;これは現代英語ではdry（乾いた）＋th（名詞化）</t>
  </si>
  <si>
    <t>drugaþ（乾燥, 乾燥した天候）</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</si>
  <si>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</si>
  <si>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</si>
  <si>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</si>
  <si>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</si>
  <si>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</si>
  <si>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</si>
  <si>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</si>
  <si>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</si>
  <si>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</si>
  <si>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</si>
  <si>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15世紀
récipe</t>
  </si>
  <si>
    <t>1580年代
処方箋, 医師によって書かれた治療薬を調合するための処方
&lt;span class="spacer"&gt;&lt;/span&gt;1716年までに
特定の料理を準備するための手順</t>
  </si>
  <si>
    <t>放蕩, 不品行</t>
  </si>
  <si>
    <t>1630年代
高価なものや上質なものにふける習慣
&lt;span class="spacer"&gt;&lt;/span&gt;1704年から
生活必需品を超えた上質なもの</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</si>
  <si>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</si>
  <si>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</si>
  <si>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</si>
  <si>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</si>
  <si>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</si>
  <si>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</si>
  <si>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sacu（訴訟の原因, 犯罪, 争い）</t>
  </si>
  <si>
    <t>sake（争い, 論争, 罪, 非難）
&lt;span class="spacer"&gt;&lt;/span&gt;1200年頃
for God's sake（神のために）</t>
  </si>
  <si>
    <t>fect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</si>
  <si>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</si>
  <si>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</si>
  <si>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</si>
  <si>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</si>
  <si>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concilie（集会, 会議）</t>
  </si>
  <si>
    <t>cuncile</t>
  </si>
  <si>
    <t>12世紀初頭
協議, 助言のための人々の集会</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</si>
  <si>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</si>
  <si>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</si>
  <si>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</si>
  <si>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</si>
  <si>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curriculum（学業や教育における履修過程）</t>
  </si>
  <si>
    <t>1824年
教育課程, 学校における固定された学習過程</t>
  </si>
  <si>
    <t>preci</t>
  </si>
  <si>
    <t>pretium（価値, 価格：priceの語源）
&lt;span class="spacer"&gt;&lt;/span&gt;形容詞を作る-osusが付いて
pretiosus（高価な, 価値のある）</t>
  </si>
  <si>
    <t>11世紀
precios（貴重な, 高価な）</t>
  </si>
  <si>
    <t>13世紀半ば
価値のある, 高価な</t>
  </si>
  <si>
    <t>gener</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</si>
  <si>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</si>
  <si>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</si>
  <si>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</si>
  <si>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</si>
  <si>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</si>
  <si>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</si>
  <si>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</si>
  <si>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</si>
  <si>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</si>
  <si>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</si>
  <si>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</si>
  <si>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</si>
  <si>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</si>
  <si>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</si>
  <si>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</si>
  <si>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</si>
  <si>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</si>
  <si>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</si>
  <si>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</si>
  <si>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</si>
  <si>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</si>
  <si>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</si>
  <si>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</si>
  <si>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</si>
  <si>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</si>
  <si>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</si>
  <si>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</si>
  <si>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</si>
  <si>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</si>
  <si>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</si>
  <si>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</si>
  <si>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</si>
  <si>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</si>
  <si>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</si>
  <si>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</si>
  <si>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deaf（聴覚を欠いている）</t>
  </si>
  <si>
    <t>genu</t>
  </si>
  <si>
    <t>gignere（生む, 産出する）
&lt;span class="spacer"&gt;&lt;/span&gt;形容詞を作る-inusが付いて
genuinus（自生の, 自然な）</t>
  </si>
  <si>
    <t>1590年代
自然な, 後天的に獲得されたものではない</t>
  </si>
  <si>
    <t>manu</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</si>
  <si>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</si>
  <si>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</si>
  <si>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</si>
  <si>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</si>
  <si>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</si>
  <si>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</si>
  <si>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</si>
  <si>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</si>
  <si>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14世紀
instant（差し迫った, 即座の）</t>
  </si>
  <si>
    <t>15世紀半ば
いま現在の, その瞬間の</t>
  </si>
  <si>
    <t>1590年代
即座の, 直ちに行われる</t>
  </si>
  <si>
    <t>1912年までに
instang coffee（インスタントコーヒー）</t>
  </si>
  <si>
    <t>spær（控えめな, 節約する）</t>
  </si>
  <si>
    <t>14世紀後期
予備として保管された, 余分な必要のために備えられた
&lt;span class="spacer"&gt;&lt;/span&gt;15世紀半ば
時間について、余分な, 空いている</t>
  </si>
  <si>
    <t>mune</t>
  </si>
  <si>
    <t>in（否定）＋munis（奉仕を行っている, 義務の）
immunis（公共の奉仕を免除された）</t>
  </si>
  <si>
    <t>15世紀半ば
税や罪から自由な, 免除された</t>
  </si>
  <si>
    <t>1881年
免疫を持つ</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</si>
  <si>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</si>
  <si>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</si>
  <si>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</si>
  <si>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</si>
  <si>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</si>
  <si>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</si>
  <si>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</si>
  <si>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</si>
  <si>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pro（前へ）＋fundus（底）
profundus（深い, 底なしの, 広大な）</t>
  </si>
  <si>
    <t>12世紀
profund</t>
  </si>
  <si>
    <t>知的な深さを特徴とする
非常に博学な
&lt;span class="spacer"&gt;&lt;/span&gt;1400年頃
深く感じられる</t>
  </si>
  <si>
    <t>stead</t>
  </si>
  <si>
    <t>stede（立っていること, 堅固さ, 安定性, 固定性）</t>
  </si>
  <si>
    <t>stede</t>
  </si>
  <si>
    <t>1520年代、形容詞を作る-yが付いて
場所や地位がしっかりと固定された
&lt;span class="spacer"&gt;&lt;/span&gt;1540年代
一定のペースの
不規則さ揺れがない</t>
  </si>
  <si>
    <t>mātūrus（熟した）</t>
  </si>
  <si>
    <t>15世紀半ば
果実について、熟した
考えや審議などについて、慎重な, よく考え抜かれた</t>
  </si>
  <si>
    <t>1600年頃
人について、身体や精神の能力が完全に発達した</t>
  </si>
  <si>
    <t>like</t>
  </si>
  <si>
    <t>wise</t>
  </si>
  <si>
    <t>gelic（似ている, 同様の）
wise（方法, やり方）</t>
  </si>
  <si>
    <t>15世紀半ば
like（似た, 同じ）＋wise（方法）
likewise（同じ方法で, 同様に）</t>
  </si>
  <si>
    <t>chaseとcatchの関係で覚える。</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</si>
  <si>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</si>
  <si>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</si>
  <si>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</si>
  <si>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</si>
  <si>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</si>
  <si>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</si>
  <si>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</si>
  <si>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</si>
  <si>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</si>
  <si>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gazen
&lt;span class="spacer"&gt;&lt;/span&gt;14世紀後期
じっと見つめる</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</si>
  <si>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</si>
  <si>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</si>
  <si>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</si>
  <si>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</si>
  <si>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lad（進路, 運ぶこと, 運搬）</t>
  </si>
  <si>
    <t>lode
&lt;span class="spacer"&gt;&lt;/span&gt;1200年頃
人や動物の上に載せるもの, 荷物
&lt;span class="spacer"&gt;&lt;/span&gt;15世紀後期、動詞になって
（乗り物に）載せる</t>
  </si>
  <si>
    <t>whelm</t>
  </si>
  <si>
    <t>over＋whelmen（ひっくり返す）
overwhelmen（完全にひっくり返す, 打ち倒す）</t>
  </si>
  <si>
    <t>1520年代
圧倒的に打ち負かす</t>
  </si>
  <si>
    <t>wandrian（あてもなく動き回る, 放浪する）</t>
  </si>
  <si>
    <t>wandren（目的なく歩き回る）</t>
  </si>
  <si>
    <t>1500年頃
道に迷う, 進路から外れる</t>
  </si>
  <si>
    <t>フロート（アイスが浮かべてある飲み物）と関連させて覚える。</t>
  </si>
  <si>
    <t>flotian（水面に浮かぶ）</t>
  </si>
  <si>
    <t>1300年頃
あちこち漂う</t>
  </si>
  <si>
    <t>1600年頃
浮かび上がらせる（他動詞）</t>
  </si>
  <si>
    <t>purus（純粋な）
&lt;span class="spacer"&gt;&lt;/span&gt;動詞になって
purare（浄化する）</t>
  </si>
  <si>
    <t>purer（穀物をふるいにかける, 水を注ぎ出す）</t>
  </si>
  <si>
    <t>1300年頃
液体や粒状の物質を注ぎ出す, 注ぎ入れる</t>
  </si>
  <si>
    <t>stitute</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</si>
  <si>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</si>
  <si>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</si>
  <si>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</si>
  <si>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</si>
  <si>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</si>
  <si>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</si>
  <si>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</si>
  <si>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</si>
  <si>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</si>
  <si>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</si>
  <si>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</si>
  <si>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</si>
  <si>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</si>
  <si>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</si>
  <si>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</si>
  <si>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オランダ語</t>
  </si>
  <si>
    <t>trekker（引き金）</t>
  </si>
  <si>
    <t>1650年代
掛け金バネを解放して装置を作動させる可動装置</t>
  </si>
  <si>
    <t>1930年代
トリガーを引いて火器を発射させるように、何かを引き起こす</t>
  </si>
  <si>
    <t>中世オランダ語 / 中低地ドイツ語</t>
  </si>
  <si>
    <t>grabben（つかむ）</t>
  </si>
  <si>
    <t>1580年代
乱暴につかむ, 力ずくでつかむ</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</si>
  <si>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</si>
  <si>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</si>
  <si>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</si>
  <si>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</si>
  <si>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produce</t>
  </si>
  <si>
    <t>1610年代
re（再び）＋produce
再び存在させる, 再生させる
&lt;span class="spacer"&gt;&lt;/span&gt;1850年までに
複製する
&lt;span class="spacer"&gt;&lt;/span&gt;1894年までに
繁殖させる</t>
  </si>
  <si>
    <t>bobという単語の発音からイメージをつかむ。</t>
  </si>
  <si>
    <t>bobben
&lt;span class="spacer"&gt;&lt;/span&gt;14世紀後期
短くぐいっという感じの動作で上下に動く
ぴょこぴょこ動く</t>
  </si>
  <si>
    <t>enter</t>
  </si>
  <si>
    <t>entertainment（エンターテイメント, 楽しませるもの, 娯楽）と関連させて覚える。</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</si>
  <si>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</si>
  <si>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</si>
  <si>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</si>
  <si>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</si>
  <si>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</si>
  <si>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</si>
  <si>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</si>
  <si>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</si>
  <si>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</si>
  <si>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</si>
  <si>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</si>
  <si>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</si>
  <si>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</si>
  <si>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</si>
  <si>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</si>
  <si>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</si>
  <si>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under licgan（〜に従属する）</t>
  </si>
  <si>
    <t>underlien</t>
  </si>
  <si>
    <t>1600年頃
〜の下に位置する, 底にある</t>
  </si>
  <si>
    <t>anti</t>
  </si>
  <si>
    <t>cipate</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</si>
  <si>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</si>
  <si>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</si>
  <si>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</si>
  <si>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</si>
  <si>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</si>
  <si>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</si>
  <si>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</si>
  <si>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</si>
  <si>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</si>
  <si>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</si>
  <si>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</si>
  <si>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</si>
  <si>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</si>
  <si>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</si>
  <si>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</si>
  <si>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</si>
  <si>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</si>
  <si>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</si>
  <si>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</si>
  <si>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</si>
  <si>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</si>
  <si>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</si>
  <si>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</si>
  <si>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</si>
  <si>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pauein（止める, 中止させる）
&lt;span class="spacer"&gt;&lt;/span&gt;名詞になって
pausis（停止, 中止）</t>
  </si>
  <si>
    <t>pausa（停止, 中断）</t>
  </si>
  <si>
    <t>pausare（一時停止する, 中断する）</t>
  </si>
  <si>
    <t>pauser</t>
  </si>
  <si>
    <t>1520年代
一時停止する, 中断する</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</si>
  <si>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</si>
  <si>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</si>
  <si>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</si>
  <si>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1560年代
膨らむ, 突き出る
&lt;span class="spacer"&gt;&lt;/span&gt;1610年代
激しく打つ, 激しく衝突させる
&lt;span class="spacer"&gt;&lt;/span&gt;1886年から
bump into ~（偶然である）</t>
  </si>
  <si>
    <t>faldan, fealdan
折り返す, 畳む
&lt;span class="spacer"&gt;&lt;/span&gt;後期古英語
腕を組む（折りたたむ）</t>
  </si>
  <si>
    <t>folden
曲げる
&lt;span class="spacer"&gt;&lt;/span&gt;1300年頃
折り重なる</t>
  </si>
  <si>
    <t>1620年代
ためらう</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</si>
  <si>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</si>
  <si>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</si>
  <si>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</si>
  <si>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</si>
  <si>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</si>
  <si>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</si>
  <si>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</si>
  <si>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</si>
  <si>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</si>
  <si>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</si>
  <si>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</si>
  <si>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</si>
  <si>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</si>
  <si>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ex（外に）＋cedere（行く）
excedere（外へ出る, 超過する）</t>
  </si>
  <si>
    <t>14世紀
exceder（超える, 勝る）</t>
  </si>
  <si>
    <t>exceden
&lt;span class="spacer"&gt;&lt;/span&gt;14世紀後期
超える, 超過する</t>
  </si>
  <si>
    <t>go</t>
  </si>
  <si>
    <t>underとgoからイメージをつかむ。</t>
  </si>
  <si>
    <t>under＋gan（goの語源）
undergan（引き受ける）</t>
  </si>
  <si>
    <t>undergon
&lt;span class="spacer"&gt;&lt;/span&gt;1300年頃
耐える</t>
  </si>
  <si>
    <t>1630年代
経験する</t>
  </si>
  <si>
    <t>front</t>
  </si>
  <si>
    <t>com（共に）＋frontem（前面, 額）</t>
  </si>
  <si>
    <t>15世紀
confronter（境界を接する, 向き合う）</t>
  </si>
  <si>
    <t>1560年代
正面に立つ, 直面している
&lt;span class="spacer"&gt;&lt;/span&gt;1580年代
敵対的に立ち向かう</t>
  </si>
  <si>
    <t>sult</t>
  </si>
  <si>
    <t>原始イタリック語</t>
  </si>
  <si>
    <t>*kom-（共に）＋*sel-e-（集める）</t>
  </si>
  <si>
    <t>consulere（呼び集める, 協議する）
&lt;span class="spacer"&gt;&lt;/span&gt;反復形consultare（相談する）</t>
  </si>
  <si>
    <t>16世紀
consulter</t>
  </si>
  <si>
    <t>1520年代
助言を求める, 相談する</t>
  </si>
  <si>
    <t>fill</t>
  </si>
  <si>
    <t>full（満ちた, 完全な）＋fyllan（満たす）
fullfyllan（満たす, 一杯にする）</t>
  </si>
  <si>
    <t>13世紀半ば
実行する, 完遂する
&lt;span class="spacer"&gt;&lt;/span&gt;1300年頃
完了する, 満たす</t>
  </si>
  <si>
    <t>一説では
re（強意）+ligare（結ぶ）
religare（しっかり結びつける）
&lt;span class="spacer"&gt;&lt;/span&gt;名詞を作る-ioが付いて
religio（神聖なものへの敬意, 神への畏敬, 宗教, 信仰）</t>
    <rPh sb="74" eb="75">
      <t>ツク</t>
    </rPh>
    <rPh sb="80" eb="81">
      <t>ツ</t>
    </rPh>
    <phoneticPr fontId="1"/>
  </si>
  <si>
    <t>名詞を作る-ioが付いて
innovatio（入れられた新しいもの, 刷新）</t>
    <rPh sb="3" eb="4">
      <t>ツク</t>
    </rPh>
    <rPh sb="9" eb="10">
      <t>ツ</t>
    </rPh>
    <phoneticPr fontId="1"/>
  </si>
  <si>
    <t>immigration</t>
    <phoneticPr fontId="1"/>
  </si>
  <si>
    <t>com（共に）+venire（来る）
convenire（一緒に来る, 集まる, 一致する）
&lt;span class="spacer"&gt;&lt;/span&gt;名詞を作る-ioが付いて
conventio（集会, 一致, 合意）</t>
    <rPh sb="78" eb="79">
      <t>ツク</t>
    </rPh>
    <rPh sb="84" eb="85">
      <t>ツ</t>
    </rPh>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</si>
  <si>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</si>
  <si>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sedere（座る）
&lt;span class="spacer"&gt;&lt;/span&gt;名詞を作る-ioが付いて
sessio（座ること, 座席, 会期）</t>
    <rPh sb="42" eb="43">
      <t>ツク</t>
    </rPh>
    <rPh sb="48" eb="49">
      <t>ツ</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</si>
  <si>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</si>
  <si>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</si>
  <si>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</si>
  <si>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</si>
  <si>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</si>
  <si>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</si>
  <si>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</si>
  <si>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</si>
  <si>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</si>
  <si>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</si>
  <si>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</si>
  <si>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</si>
  <si>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</si>
  <si>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neuron（引き伸ばされたもの, 腱, 筋, 神経）</t>
  </si>
  <si>
    <t>Neuron</t>
  </si>
  <si>
    <t>1891年
付属突起を伴う神経細胞</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</si>
  <si>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</si>
  <si>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</si>
  <si>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</si>
  <si>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</si>
  <si>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</si>
  <si>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</si>
  <si>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</si>
  <si>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</si>
  <si>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</si>
  <si>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</si>
  <si>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</si>
  <si>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</si>
  <si>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</si>
  <si>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geo（大地）＋graphia（記述）
geographia（地球表面の記述）</t>
  </si>
  <si>
    <t>geographia</t>
  </si>
  <si>
    <t>15世紀
géographie</t>
  </si>
  <si>
    <t>1540年代
地球表面の現状を記述する科学</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</si>
  <si>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</si>
  <si>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</si>
  <si>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</si>
  <si>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</si>
  <si>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</si>
  <si>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</si>
  <si>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</si>
  <si>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</si>
  <si>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</si>
  <si>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Semester（大学における半年間の課程）</t>
  </si>
  <si>
    <t>1827年
6ヶ月間の学期</t>
  </si>
  <si>
    <t>work</t>
  </si>
  <si>
    <t>work＋forceとして覚える。</t>
  </si>
  <si>
    <t>1947年までに
work（労働）＋force（力, 集団）
workforce（労働者や従業員の集合、全体）</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</si>
  <si>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</si>
  <si>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</si>
  <si>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</si>
  <si>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</si>
  <si>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</si>
  <si>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</si>
  <si>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</si>
  <si>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</si>
  <si>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</si>
  <si>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</si>
  <si>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12世紀
vice（欠点, 欠陥, 不規則性）</t>
  </si>
  <si>
    <t>1300年頃
道徳的な欠陥や邪悪さ
&lt;span class="spacer"&gt;&lt;/span&gt;14世紀半ば
特定の個々の罪
&lt;span class="spacer"&gt;&lt;/span&gt;14世紀後期
悪い習慣, 好ましくない行動</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</si>
  <si>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</si>
  <si>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</si>
  <si>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</si>
  <si>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</si>
  <si>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</si>
  <si>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</si>
  <si>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</si>
  <si>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</si>
  <si>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</si>
  <si>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</si>
  <si>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</si>
  <si>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</si>
  <si>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</si>
  <si>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scena（場面, シーン）</t>
  </si>
  <si>
    <t>scenaに形容詞を作る-ariusが付いて
scenarius（舞台場面の）</t>
  </si>
  <si>
    <t>1868年
劇作品の筋書き, 脚本</t>
  </si>
  <si>
    <t>ergy</t>
  </si>
  <si>
    <t>allos（異なる, 奇妙な）＋ergon（仕事）</t>
  </si>
  <si>
    <t>1911年
通常は無害な物質に対する免疫系の過敏症によって引き起こされる状態
アレルギー</t>
  </si>
  <si>
    <t>動詞wound（傷つける）と一緒に覚える。</t>
  </si>
  <si>
    <t>wund（人または動物の身体における刺す・切ることを伴う損傷）</t>
  </si>
  <si>
    <t>biot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</si>
  <si>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</si>
  <si>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</si>
  <si>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</si>
  <si>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</si>
  <si>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</si>
  <si>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</si>
  <si>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</si>
  <si>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</si>
  <si>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</si>
  <si>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</si>
  <si>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</si>
  <si>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</si>
  <si>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</si>
  <si>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</si>
  <si>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</si>
  <si>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folc（人々, 一般民衆, 民族）</t>
  </si>
  <si>
    <t>集合名詞として使われたが、15世紀から複数形folksが使われ始める</t>
  </si>
  <si>
    <t>fær（旅, 道, 通行）</t>
  </si>
  <si>
    <t>1510年代
通行料, 運賃</t>
  </si>
  <si>
    <t>i</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</si>
  <si>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</si>
  <si>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</si>
  <si>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</si>
  <si>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</si>
  <si>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</si>
  <si>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</si>
  <si>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magnus（大きな, 多い, 偉大な）
&lt;span class="spacer"&gt;&lt;/span&gt;最上級を作る-imusが付いて
maximus（最大の）
&lt;span class="spacer"&gt;&lt;/span&gt;名詞を作る-umが付いて
maximum（最大）</t>
  </si>
  <si>
    <t>1740年
最大, 最高, 最上の量や程度</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</si>
  <si>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</si>
  <si>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</si>
  <si>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</si>
  <si>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</si>
  <si>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</si>
  <si>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</si>
  <si>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</si>
  <si>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</si>
  <si>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</si>
  <si>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</si>
  <si>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</si>
  <si>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</si>
  <si>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</si>
  <si>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</si>
  <si>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</si>
  <si>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</si>
  <si>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</si>
  <si>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</si>
  <si>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</si>
  <si>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</si>
  <si>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</si>
  <si>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</si>
  <si>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</si>
  <si>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</si>
  <si>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</si>
  <si>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trailler（引く, 引きずる）</t>
  </si>
  <si>
    <t>14世紀初頭
引きずられているもの</t>
  </si>
  <si>
    <t>1580年代
人や動物が残した跡や臭い
&lt;span class="spacer"&gt;&lt;/span&gt;1807年までに
動物や人間の通行によって荒野に作られた道や跡</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</si>
  <si>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</si>
  <si>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</si>
  <si>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</si>
  <si>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</si>
  <si>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sibb（親族関係, 血縁関係）
&lt;span class="spacer"&gt;&lt;/span&gt;sibling（男女問わず親類）</t>
  </si>
  <si>
    <t>sibling（男女問わず親類）</t>
  </si>
  <si>
    <t>1903年
男女問わずきょうだい</t>
  </si>
  <si>
    <t>ra</t>
  </si>
  <si>
    <t>1630年代
神学や哲学の文脈で、理性, 根拠, 説明
&lt;span class="spacer"&gt;&lt;/span&gt;1650年代
数学において、二つの量の間の関係, 比率</t>
  </si>
  <si>
    <t>mix</t>
  </si>
  <si>
    <t>ture</t>
  </si>
  <si>
    <t>日本語でも使われるミックス（混ぜる）の名詞として覚える。</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</si>
  <si>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</si>
  <si>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</si>
  <si>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</si>
  <si>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</si>
  <si>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</si>
  <si>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</si>
  <si>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</si>
  <si>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</si>
  <si>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</si>
  <si>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</si>
  <si>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</si>
  <si>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</si>
  <si>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</si>
  <si>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</si>
  <si>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</si>
  <si>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</si>
  <si>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</si>
  <si>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</si>
  <si>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</si>
  <si>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mpt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</si>
  <si>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</si>
  <si>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</si>
  <si>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</si>
  <si>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</si>
  <si>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</si>
  <si>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</si>
  <si>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</si>
  <si>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</si>
  <si>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</si>
  <si>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</si>
  <si>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</si>
  <si>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</si>
  <si>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</si>
  <si>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</si>
  <si>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</si>
  <si>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</si>
  <si>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</si>
  <si>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</si>
  <si>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</si>
  <si>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</si>
  <si>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</si>
  <si>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</si>
  <si>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</si>
  <si>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</si>
  <si>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</si>
  <si>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</si>
  <si>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</si>
  <si>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</si>
  <si>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</si>
  <si>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</si>
  <si>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</si>
  <si>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</si>
  <si>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</si>
  <si>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</si>
  <si>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</si>
  <si>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</si>
  <si>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fluere（流れる, 流れ出る）
&lt;span class="spacer"&gt;&lt;/span&gt;現在分詞fluens</t>
  </si>
  <si>
    <t>1580年代
水が自由に流れる
話し手について、言葉の使い方が巧みで軽やか</t>
  </si>
  <si>
    <t>extern</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</si>
  <si>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</si>
  <si>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</si>
  <si>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</si>
  <si>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</si>
  <si>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</si>
  <si>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</si>
  <si>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</si>
  <si>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</si>
  <si>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</si>
  <si>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</si>
  <si>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</si>
  <si>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</si>
  <si>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</si>
  <si>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</si>
  <si>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</si>
  <si>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</si>
  <si>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</si>
  <si>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</si>
  <si>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</si>
  <si>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</si>
  <si>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1775年
形容詞で、偽造の
（ロンドンの犯罪者仲間の隠語）</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</si>
  <si>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</si>
  <si>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</si>
  <si>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</si>
  <si>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</si>
  <si>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urgere（強く押す, 促す）
&lt;span class="spacer"&gt;&lt;/span&gt;現在分詞urgens（押し迫っている）</t>
  </si>
  <si>
    <t>14世紀
urgent（差し迫った, 駆り立てる）</t>
  </si>
  <si>
    <t>15世紀半ば
フレーズurgent causes（差し迫った事案）で使われる</t>
  </si>
  <si>
    <t>spirit</t>
  </si>
  <si>
    <t>ual</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</si>
  <si>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</si>
  <si>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</si>
  <si>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</si>
  <si>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</si>
  <si>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</si>
  <si>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modus（尺度, 方法）
&lt;span class="spacer"&gt;&lt;/span&gt;形容詞を作る-tusが付いて
modestus（適切な尺度を保つ, 適度な, 控えめな）</t>
  </si>
  <si>
    <t>14世紀
modeste</t>
  </si>
  <si>
    <t>1560年代
適度な自尊心を持つ
礼儀や謙虚さによって抑制された</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</si>
  <si>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</si>
  <si>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</si>
  <si>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</si>
  <si>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1839年
none the less</t>
  </si>
  <si>
    <t>1930年頃までに
1語になってnonetheless（そのせいで多くなることも少なくなることもない）</t>
  </si>
  <si>
    <t>otiate</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</si>
  <si>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</si>
  <si>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</si>
  <si>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</si>
  <si>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</si>
  <si>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</si>
  <si>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</si>
  <si>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</si>
  <si>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</si>
  <si>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</si>
  <si>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</si>
  <si>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</si>
  <si>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</si>
  <si>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</si>
  <si>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</si>
  <si>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</si>
  <si>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</si>
  <si>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</si>
  <si>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</si>
  <si>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</si>
  <si>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</si>
  <si>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</si>
  <si>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</si>
  <si>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</si>
  <si>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1580年代
縦に裂く, 引き裂く
&lt;span class="spacer"&gt;&lt;/span&gt;1706年
複数の部分に分割する</t>
  </si>
  <si>
    <t>fore</t>
  </si>
  <si>
    <t>fore（前に）＋casten（投げる, 計算する, 考える）
&lt;span class="spacer"&gt;&lt;/span&gt;14世紀後期
前へ投げる, 今後のことを考える
&lt;span class="spacer"&gt;&lt;/span&gt;15世紀後期
今後の出来事を予測する</t>
  </si>
  <si>
    <t>ex（外に）＋claudere（閉じる）
exclaudere（締め出す）</t>
  </si>
  <si>
    <t>14世紀中頃
締め出す, 参加を拒否する, 入ることを妨げる</t>
  </si>
  <si>
    <t>look</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</si>
  <si>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</si>
  <si>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</si>
  <si>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</si>
  <si>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</si>
  <si>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</si>
  <si>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</si>
  <si>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</si>
  <si>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*kailo-（完全な）</t>
  </si>
  <si>
    <t>*hailjan（完全な状態にする, wholeにする）</t>
  </si>
  <si>
    <t>hælan（完全な状態にする, 健全で健康な状態にする, 治す）</t>
  </si>
  <si>
    <t>for</t>
  </si>
  <si>
    <t>bid</t>
  </si>
  <si>
    <t>for（〜に対する）＋beodan（命じる）
forbeodan（禁じる）</t>
  </si>
  <si>
    <t>stall</t>
  </si>
  <si>
    <t>in（中に）＋stallum（座席）
&lt;span class="spacer"&gt;&lt;/span&gt;動詞になって
installare</t>
  </si>
  <si>
    <t>14世紀
installer</t>
  </si>
  <si>
    <t>instal
&lt;span class="spacer"&gt;&lt;/span&gt;15世紀初頭
公式な座席（stall）に座らせることで地位に就かせる</t>
  </si>
  <si>
    <t>minish</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</si>
  <si>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</si>
  <si>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</si>
  <si>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</si>
  <si>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</si>
  <si>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ciere（動かす, 呼ぶ, 招く）
反復形citare（頻繁に呼びかける, 呼び出す, 促す）</t>
  </si>
  <si>
    <t>14世紀
citer（召喚する）</t>
  </si>
  <si>
    <t>15世紀半ば
召喚する, 公式に呼び出す</t>
  </si>
  <si>
    <t>1530年代
著作の一節や他者の言葉を引用する</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</si>
  <si>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</si>
  <si>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</si>
  <si>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</si>
  <si>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</si>
  <si>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</si>
  <si>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</si>
  <si>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</si>
  <si>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</si>
  <si>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</si>
  <si>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</si>
  <si>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</si>
  <si>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</si>
  <si>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</si>
  <si>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</si>
  <si>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</si>
  <si>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</si>
  <si>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ex（外に）＋cadere（落ちる）</t>
  </si>
  <si>
    <t>*excadere（落ちる, 外れる）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</si>
  <si>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</si>
  <si>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</si>
  <si>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fostor（食物, 養育）
*fostrian（食物を与える, 養う）</t>
  </si>
  <si>
    <t>1200年頃から
子どもを親として養育する</t>
  </si>
  <si>
    <t>1560年代
感情や考えを育む</t>
  </si>
  <si>
    <t>ey</t>
  </si>
  <si>
    <t xml:space="preserve">12世紀
obeir（従う）
</t>
  </si>
  <si>
    <t>obeien
&lt;span class="spacer"&gt;&lt;/span&gt;1300年頃
従う, 〜に支配される</t>
  </si>
  <si>
    <t>14世紀初頭
湾曲させる, 曲げる
&lt;span class="spacer"&gt;&lt;/span&gt;14世紀後期
自動詞で、湾曲する, 曲がる
&lt;span class="spacer"&gt;&lt;/span&gt;1400年頃から
服従する</t>
  </si>
  <si>
    <t>prive</t>
  </si>
  <si>
    <t>privus（個人の）
&lt;span class="spacer"&gt;&lt;/span&gt;動詞になって
privare（何かから解放する, 何かから奪う）</t>
  </si>
  <si>
    <t>de（完全に）＋privare（何かから奪う）
deprivare</t>
  </si>
  <si>
    <t>depriver</t>
  </si>
  <si>
    <t>depriven
&lt;span class="spacer"&gt;&lt;/span&gt;14世紀半ば
奪う</t>
  </si>
  <si>
    <t>*kers-（走る）
&lt;span class="spacer"&gt;&lt;/span&gt;&lt;span class="obsolete"&gt;car（車）, career（キャリア）, carry（運ぶ）, charge（責任, 料金）, current（現在の, 流れ）などもこの印欧祖語に由さかのぼる。&lt;/span&gt;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</si>
  <si>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</si>
  <si>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</si>
  <si>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</si>
  <si>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</si>
  <si>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</si>
  <si>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</si>
  <si>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trans（越えて, 向こうへ）＋mittere（送る, 放つ）</t>
  </si>
  <si>
    <t>1400年頃
送り届ける, 別の人や場所へ渡す</t>
  </si>
  <si>
    <t>日本語でも使われるタイムリープ（時間跳躍, 異なる時代へ跳ぶ）と関連させて覚える。</t>
  </si>
  <si>
    <t>15世紀初頭
跳んで飛び超える</t>
  </si>
  <si>
    <t>tonish</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</si>
  <si>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</si>
  <si>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</si>
  <si>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</si>
  <si>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</si>
  <si>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</si>
  <si>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</si>
  <si>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</si>
  <si>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</si>
  <si>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14世紀後期
素早く頭を下げる, 会釈する</t>
  </si>
  <si>
    <t>1560年代
うとうとする</t>
  </si>
  <si>
    <t>bugan（曲げる, 曲がる, お辞儀する, 屈服する）</t>
  </si>
  <si>
    <t>bouen（体を曲げる, お辞儀する, 屈服する）</t>
  </si>
  <si>
    <t>blandan（混ぜる）</t>
  </si>
  <si>
    <t>blenden
&lt;span class="spacer"&gt;&lt;/span&gt;1300年頃
区別がつかなくなるように混ぜ合わせる
液体をかき混ぜる</t>
  </si>
  <si>
    <t>plicate</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</si>
  <si>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</si>
  <si>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</si>
  <si>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</si>
  <si>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</si>
  <si>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</si>
  <si>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per（完全に）＋sistere（立ち止まる）
persistere（断固として継続する, とどまる）</t>
  </si>
  <si>
    <t>14世紀
persister</t>
  </si>
  <si>
    <t>1530年代
ある状態や行動を確固として継続する</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</si>
  <si>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</si>
  <si>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</si>
  <si>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</si>
  <si>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skip（船）
skipa（船を装備する, 整える, 秩序立てて配置する）</t>
  </si>
  <si>
    <t>12世紀
esquiper（船を装備する）</t>
  </si>
  <si>
    <t>équiper（備え付ける）</t>
  </si>
  <si>
    <t>1520年代
備え付ける</t>
  </si>
  <si>
    <t>mise</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</si>
  <si>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</si>
  <si>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</si>
  <si>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</si>
  <si>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</si>
  <si>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</si>
  <si>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</si>
  <si>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1753年
in（中に）＋put（置く）
input（投入された金額）</t>
  </si>
  <si>
    <t>1902年から
装置や機械に供給されるエネルギー
&lt;span class="spacer"&gt;&lt;/span&gt;1948年から
マシンに送り込まれるデータ</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</si>
  <si>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</si>
  <si>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</si>
  <si>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</si>
  <si>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</si>
  <si>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</si>
  <si>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</si>
  <si>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</si>
  <si>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</si>
  <si>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</si>
  <si>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</si>
  <si>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</si>
  <si>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</si>
  <si>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</si>
  <si>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</si>
  <si>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</si>
  <si>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</si>
  <si>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radius（中心から放射状に伸びる直線状のもの, 棒, 光線, 円の半径）</t>
  </si>
  <si>
    <t>rai（太陽の光線）</t>
  </si>
  <si>
    <t>14世紀初頭
光の束, 発光体から特定の方向に放出される光</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</si>
  <si>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</si>
  <si>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</si>
  <si>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</si>
  <si>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</si>
  <si>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</si>
  <si>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</si>
  <si>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</si>
  <si>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</si>
  <si>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</si>
  <si>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</si>
  <si>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</si>
  <si>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</si>
  <si>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*al-（成長する, 養う）
&lt;span class="spacer"&gt;&lt;/span&gt;&lt;span class="obsolete"&gt;oldやelder（古い）もこの印欧祖語にさかのぼる。&lt;/span&gt;</t>
  </si>
  <si>
    <t>15世紀
adolescent</t>
  </si>
  <si>
    <t>15世紀半ば
若者, 成長過程にある者</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</si>
  <si>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</si>
  <si>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</si>
  <si>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</si>
  <si>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</si>
  <si>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</si>
  <si>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</si>
  <si>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</si>
  <si>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</si>
  <si>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</si>
  <si>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</si>
  <si>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</si>
  <si>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</si>
  <si>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</si>
  <si>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</si>
  <si>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</si>
  <si>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</si>
  <si>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</si>
  <si>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</si>
  <si>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</si>
  <si>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</si>
  <si>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</si>
  <si>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</si>
  <si>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</si>
  <si>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</si>
  <si>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</si>
  <si>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</si>
  <si>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</si>
  <si>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</si>
  <si>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</si>
  <si>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</si>
  <si>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</si>
  <si>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</si>
  <si>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</si>
  <si>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</si>
  <si>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</si>
  <si>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</si>
  <si>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</si>
  <si>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</si>
  <si>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</si>
  <si>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</si>
  <si>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</si>
  <si>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</si>
  <si>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</si>
  <si>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</si>
  <si>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</si>
  <si>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</si>
  <si>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</si>
  <si>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</si>
  <si>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</si>
  <si>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</si>
  <si>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</si>
  <si>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clinicus（病床を訪れて診療する医師）</t>
  </si>
  <si>
    <t>17世紀
clinique</t>
  </si>
  <si>
    <t>1620年代
病気でベッドから離れられない人
&lt;span class="spacer"&gt;&lt;/span&gt;1884年から
私立病院, 診療所</t>
  </si>
  <si>
    <t>ia</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</si>
  <si>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</si>
  <si>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</si>
  <si>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</si>
  <si>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</si>
  <si>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</si>
  <si>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</si>
  <si>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</si>
  <si>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</si>
  <si>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1580年代
2つの望ましくない選択肢の間に挟まれて選択すること</t>
  </si>
  <si>
    <t>1067</t>
  </si>
  <si>
    <t>coda（尾）</t>
  </si>
  <si>
    <t>12世紀
cue, coe, queue（尾）</t>
  </si>
  <si>
    <t>15世紀後期
封印が垂れ下がった手紙に付けられたひも</t>
  </si>
  <si>
    <t>1500年頃
踊り手の列
&lt;span class="spacer"&gt;&lt;/span&gt;16世紀
動物の尾
&lt;span class="spacer"&gt;&lt;/span&gt;1837年
人々の列</t>
  </si>
  <si>
    <t>curvare（曲げる）
curvus（曲がった, 湾曲した）</t>
  </si>
  <si>
    <t>15世紀初頭
曲線状になる, 曲がる</t>
  </si>
  <si>
    <t>1690年代、名詞になって
曲線
&lt;span class="spacer"&gt;&lt;/span&gt;1879年から
野球のカーブ</t>
  </si>
  <si>
    <t>narrat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</si>
  <si>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</si>
  <si>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</si>
  <si>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</si>
  <si>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</si>
  <si>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</si>
  <si>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</si>
  <si>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1834年
finger（指）＋print（プリント, 跡, 押し付けたもの）</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</si>
  <si>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</si>
  <si>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</si>
  <si>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</si>
  <si>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</si>
  <si>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</si>
  <si>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</si>
  <si>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</si>
  <si>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</si>
  <si>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</si>
  <si>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</si>
  <si>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1939年
pest（害虫）＋cide（殺すもの）
pesticide（庭や家庭、農作物の害虫を駆除するための物質）</t>
  </si>
  <si>
    <t>pan</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</si>
  <si>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</si>
  <si>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</si>
  <si>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</si>
  <si>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</si>
  <si>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</si>
  <si>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</si>
  <si>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</si>
  <si>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</si>
  <si>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</si>
  <si>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</si>
  <si>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</si>
  <si>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15世紀半ば
fantasyの短縮形fantsy
fantasyが持っていた「好み, 気まぐれ」という意味を引き継いだ</t>
  </si>
  <si>
    <t>1580年代
創造的な想像力
&lt;span class="spacer"&gt;&lt;/span&gt;1660年代
空想的なイメージ</t>
  </si>
  <si>
    <t>vir</t>
  </si>
  <si>
    <t>tus</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</si>
  <si>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</si>
  <si>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</si>
  <si>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</si>
  <si>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</si>
  <si>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</si>
  <si>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</si>
  <si>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</si>
  <si>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</si>
  <si>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</si>
  <si>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</si>
  <si>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</si>
  <si>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</si>
  <si>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</si>
  <si>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</si>
  <si>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</si>
  <si>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</si>
  <si>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</si>
  <si>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</si>
  <si>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</si>
  <si>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</si>
  <si>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</si>
  <si>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</si>
  <si>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</si>
  <si>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</si>
  <si>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</si>
  <si>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</si>
  <si>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</si>
  <si>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</si>
  <si>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</si>
  <si>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</si>
  <si>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</si>
  <si>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</si>
  <si>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</si>
  <si>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</si>
  <si>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</si>
  <si>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oris（口）</t>
  </si>
  <si>
    <t>orisに形容詞を作る-alisが付いて
oralis（口の, 口に関する）</t>
  </si>
  <si>
    <t>1620年代
口によって
言葉で発せられた
&lt;span class="spacer"&gt;&lt;/span&gt;1650年代
口の, 口に関する</t>
  </si>
  <si>
    <t>noc</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</si>
  <si>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</si>
  <si>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</si>
  <si>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</si>
  <si>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</si>
  <si>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14世紀
subsequent</t>
  </si>
  <si>
    <t>15世紀半ば
順序や時間的に次に続く, 後の</t>
  </si>
  <si>
    <t>deepの反対として覚える。</t>
  </si>
  <si>
    <t>schalowe / shaloue
&lt;span class="spacer"&gt;&lt;/span&gt;1400年頃
水や川などについて、浅い
人間の体について、痩せた</t>
  </si>
  <si>
    <t>1580年代までに
思考や感情が浅い
&lt;span class="spacer"&gt;&lt;/span&gt;1875年から
呼吸が浅い</t>
  </si>
  <si>
    <t>differ</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</si>
  <si>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</si>
  <si>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</si>
  <si>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</si>
  <si>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</si>
  <si>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</si>
  <si>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</si>
  <si>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</si>
  <si>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</si>
  <si>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</si>
  <si>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</si>
  <si>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ob（周囲に）＋edere（食べる）
obedere（むさぼり食う, 食べ尽くす）
&lt;span class="spacer"&gt;&lt;/span&gt;過去分詞obesus（食べて太った, ふくよかな）</t>
  </si>
  <si>
    <t>1650年代
過度に太った</t>
  </si>
  <si>
    <t>gn</t>
  </si>
  <si>
    <t>prae（前に）＋gnasci（生まれる）
&lt;span class="spacer"&gt;&lt;/span&gt;形容詞になって
praegnas（生む前の, 子を宿した）</t>
  </si>
  <si>
    <t>15世紀初頭
子を宿した</t>
  </si>
  <si>
    <t>timte</t>
  </si>
  <si>
    <t>intimusが動詞になって
intimare（知らせる, 公表する, 印象づける）
&lt;span class="spacer"&gt;&lt;/span&gt;過去分詞intimatus（知らされた, 打ち明けられた）</t>
  </si>
  <si>
    <t>1630年代
非常に親密な, 密接な</t>
  </si>
  <si>
    <t>medi</t>
  </si>
  <si>
    <t>ev</t>
  </si>
  <si>
    <t>1825年、ラテン語のmedium（中間）とaevum（時代）を合わせて造った語
中世に関する, 中世を連想させる</t>
  </si>
  <si>
    <t>sacr</t>
  </si>
  <si>
    <t>sacer（神聖な）
&lt;span class="spacer"&gt;&lt;/span&gt;sacrare（神聖なものにする, 捧げる）</t>
  </si>
  <si>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</si>
  <si>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</si>
  <si>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</si>
  <si>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</si>
  <si>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</si>
  <si>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</si>
  <si>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</si>
  <si>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</si>
  <si>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</si>
  <si>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vertere（回す, 向ける）
&lt;span class="spacer"&gt;&lt;/span&gt;過去分詞versus（〜の方に向けられた, 〜に対して）</t>
  </si>
  <si>
    <t>15世紀中頃
法律用語で、ある当事者が他方の当事者に対して訴訟を起こす</t>
  </si>
  <si>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</si>
  <si>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</si>
  <si>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</si>
  <si>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</si>
  <si>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</si>
  <si>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</si>
  <si>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</si>
  <si>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</si>
  <si>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</si>
  <si>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</si>
  <si>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</si>
  <si>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</si>
  <si>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</si>
  <si>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</si>
  <si>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</si>
  <si>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</si>
  <si>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</si>
  <si>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</si>
  <si>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</si>
  <si>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</si>
  <si>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</si>
  <si>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</si>
  <si>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</si>
  <si>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</si>
  <si>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</si>
  <si>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</si>
  <si>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</si>
  <si>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</si>
  <si>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</si>
  <si>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cumulus（山, 積み重なり）
&lt;span class="spacer"&gt;&lt;/span&gt;ad（強意）＋cumulare（積み上げる）
accumulare（積み上げる, 蓄積する）
&lt;span class="spacer"&gt;&lt;/span&gt;過去分詞accumulatus</t>
  </si>
  <si>
    <t>1520年代
積み上げる</t>
  </si>
  <si>
    <t>1590年代
相手も同様の誓約を差し出すことを条件に、没収物（罰金・担保）として相手に差し出すこと
&lt;span class="spacer"&gt;&lt;/span&gt;1600年頃
賭けをする</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</si>
  <si>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</si>
  <si>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</si>
  <si>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</si>
  <si>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</si>
  <si>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</si>
  <si>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</si>
  <si>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</si>
  <si>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grippan（つかむ, 握る）</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</si>
  <si>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</si>
  <si>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</si>
  <si>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</si>
  <si>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</si>
  <si>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</si>
  <si>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</si>
  <si>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</si>
  <si>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</si>
  <si>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</si>
  <si>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</si>
  <si>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</si>
  <si>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</si>
  <si>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</si>
  <si>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ceowan（噛む）</t>
  </si>
  <si>
    <t>cheuen（咀嚼する, 噛み砕く）</t>
  </si>
  <si>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</si>
  <si>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</si>
  <si>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</si>
  <si>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</si>
  <si>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</si>
  <si>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</si>
  <si>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</si>
  <si>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</si>
  <si>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</si>
  <si>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</si>
  <si>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</si>
  <si>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</si>
  <si>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</si>
  <si>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</si>
  <si>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</si>
  <si>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</si>
  <si>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ad（〜へ）＋causa（原因, 訴訟：causeの語源）
accusare（〜へ苦情を申し立てる, 訴訟を起こす）</t>
  </si>
  <si>
    <t>13世紀
acuser（責める, 非難する, 告訴する）</t>
  </si>
  <si>
    <t>1300年頃
非難する, 告発する</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</si>
  <si>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</si>
  <si>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</si>
  <si>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</si>
  <si>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</si>
  <si>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</si>
  <si>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</si>
  <si>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</si>
  <si>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</si>
  <si>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</si>
  <si>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wipian（拭く）</t>
  </si>
  <si>
    <t>wipen（柔らかい布などでこする, 湿気や汚れなどをやさしく取り除く）</t>
  </si>
  <si>
    <t>1900年までに
磁気記録などを消去する</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</si>
  <si>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</si>
  <si>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</si>
  <si>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</si>
  <si>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</si>
  <si>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mis（誤って）＋lædan（導く：leadの語源）
mislædan（誤って導く, 誤りに引き込む）</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</si>
  <si>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</si>
  <si>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</si>
  <si>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</si>
  <si>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</si>
  <si>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</si>
  <si>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</si>
  <si>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com（共に）＋ponere（置く）
componere（一緒に置く）</t>
  </si>
  <si>
    <t>componre / compondre（整える, 配置する）</t>
  </si>
  <si>
    <t>compounen
&lt;span class="spacer"&gt;&lt;/span&gt;14世紀後期
一緒にする, 混ぜる</t>
  </si>
  <si>
    <t>plode</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</si>
  <si>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</si>
  <si>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</si>
  <si>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</si>
  <si>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</si>
  <si>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</si>
  <si>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</si>
  <si>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</si>
  <si>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</si>
  <si>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</si>
  <si>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1133</t>
  </si>
  <si>
    <t>日本語でも使われるデコレーション（decoration, 装飾）と関連させて覚える。</t>
  </si>
  <si>
    <t>decus（装飾）
&lt;span class="spacer"&gt;&lt;/span&gt;動詞になって
decorare（装飾する）
&lt;span class="spacer"&gt;&lt;/span&gt;過去分詞decoratus</t>
  </si>
  <si>
    <t>1520年代
装飾する</t>
  </si>
  <si>
    <t>post</t>
  </si>
  <si>
    <t>pone</t>
  </si>
  <si>
    <t>post（後に）＋ponere（置く）
postponere（後に置く, 延期する）</t>
  </si>
  <si>
    <t>1500年頃
延期する, 後の時間に遅らせる</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</si>
  <si>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</si>
  <si>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</si>
  <si>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</si>
  <si>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</si>
  <si>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</si>
  <si>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</si>
  <si>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</si>
  <si>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</si>
  <si>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</si>
  <si>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ex（外に）＋legere（選ぶ）
eligere（選び出す）
&lt;span class="spacer"&gt;&lt;/span&gt;過去分詞electus</t>
  </si>
  <si>
    <t>15世紀初頭
職務や地位のために選ぶ</t>
  </si>
  <si>
    <t>ex（外に）＋trahere（引く, 引きずる）
extrahere（引き出す）
&lt;span class="spacer"&gt;&lt;/span&gt;過去分詞extractus</t>
  </si>
  <si>
    <t>15世紀後期
引き出す, 取り除く</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</si>
  <si>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</si>
  <si>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</si>
  <si>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</si>
  <si>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ræran（何かを上げる, 持ち上げる, 上昇させる）</t>
  </si>
  <si>
    <t>reren
&lt;span class="spacer"&gt;&lt;/span&gt;15世紀初頭
子どもなどを育てる</t>
  </si>
  <si>
    <t>16世紀後期までに
栄養を与えて人や動物を育てる</t>
  </si>
  <si>
    <t>en（中に）＋pathos（感情）
empatheia（情熱, 感情状態）</t>
  </si>
  <si>
    <t>1550年代
演劇において次のセリフの合図となる直前のセリフ
&lt;span class="spacer"&gt;&lt;/span&gt;1880年までに
音楽において演奏開始の合図</t>
  </si>
  <si>
    <t>prise</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</si>
  <si>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</si>
  <si>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</si>
  <si>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out＋put
&lt;span class="spacer"&gt;&lt;/span&gt;1839年
特定の時間内に産出された量
&lt;span class="spacer"&gt;&lt;/span&gt;1884年までに
装置やシステムによって生み出されるエネルギー</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</si>
  <si>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</si>
  <si>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</si>
  <si>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</si>
  <si>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</si>
  <si>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</si>
  <si>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mille（千）
annus（年）</t>
  </si>
  <si>
    <t>millennium（1000年間）</t>
  </si>
  <si>
    <t>1630年代
キリストが地上を統治すると予期される1,000年間の期間
&lt;span class="spacer"&gt;&lt;/span&gt;1711年までに
1,000年間</t>
  </si>
  <si>
    <t>kind</t>
  </si>
  <si>
    <t>man（人間, 個人）
古英語後期（1000年頃）から成人男性という意味で使われ始める
&lt;span class="spacer"&gt;&lt;/span&gt;gecynd（性質, 種族）</t>
  </si>
  <si>
    <t>man（人）＋kende（種類, 種族：kindの語源）
man-kende（人類）</t>
  </si>
  <si>
    <t>アラビア語</t>
  </si>
  <si>
    <t>muslim（信仰に従う者）</t>
    <phoneticPr fontId="1"/>
  </si>
  <si>
    <t>1610年代
イスラム教を信仰する者
イスラム教徒</t>
  </si>
  <si>
    <t>status（状態, 条件, 位置, 立場, 地位）</t>
  </si>
  <si>
    <t>13世紀
estat（状態, 条件, 位置, 立場, 地位）</t>
  </si>
  <si>
    <t>13世紀初頭
階級, 地位, 状態
&lt;span class="spacer"&gt;&lt;/span&gt;14世紀後期
富裕な状態, 財産</t>
  </si>
  <si>
    <t>1620年代
土地資産</t>
  </si>
  <si>
    <t>mine</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</si>
  <si>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</si>
  <si>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</si>
  <si>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</si>
  <si>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caution（担保, 保証, 保証人）</t>
  </si>
  <si>
    <t>caucioun
&lt;span class="spacer"&gt;&lt;/span&gt;1300年頃
担保, 保証
&lt;span class="spacer"&gt;&lt;/span&gt;1600年代
警告の言葉
&lt;span class="spacer"&gt;&lt;/span&gt;1650年代
危険に対する用心</t>
  </si>
  <si>
    <t>contro</t>
  </si>
  <si>
    <t>versy</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</si>
  <si>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</si>
  <si>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</si>
  <si>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</si>
  <si>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</si>
  <si>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</si>
  <si>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</si>
  <si>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</si>
  <si>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</si>
  <si>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</si>
  <si>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</si>
  <si>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</si>
  <si>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</si>
  <si>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</si>
  <si>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</si>
  <si>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bever</t>
  </si>
  <si>
    <t>bibere（飲む, 吸収する）</t>
  </si>
  <si>
    <t>boivre（飲む）＋age（名詞化）</t>
  </si>
  <si>
    <t>13世紀半ば
あらゆる種類の飲み物</t>
  </si>
  <si>
    <t>sup</t>
  </si>
  <si>
    <t>ple</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</si>
  <si>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</si>
  <si>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</si>
  <si>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</si>
  <si>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dia（通って）＋bainein（行く）
diabainein（通り抜ける）</t>
  </si>
  <si>
    <t>後期ギリシャ語</t>
  </si>
  <si>
    <t>diabetes（過剰な尿の排出）</t>
  </si>
  <si>
    <t>医学ラテン語</t>
  </si>
  <si>
    <t>1560年代
異常な尿の排出を特徴とする一連の疾患の医学名（現在は糖尿病に限定）</t>
  </si>
  <si>
    <t>provincia（ローマの支配下にあるイタリア国外の領土, 公職, 公務）</t>
  </si>
  <si>
    <t>13世紀
province（国の一部, 州）</t>
  </si>
  <si>
    <t>14世紀半ば
国, 領土, 地域
国の政治的・行政的な区分</t>
  </si>
  <si>
    <t>riffe</t>
  </si>
  <si>
    <t>rigge
&lt;span class="spacer"&gt;&lt;/span&gt;1580年代
水中にある低くて狭い岩の背</t>
  </si>
  <si>
    <t>micro</t>
  </si>
  <si>
    <t>mikros（小さい）
bios（生命）</t>
  </si>
  <si>
    <t>1878年
細菌やその他の極めて小さな生物</t>
  </si>
  <si>
    <t>ex（外に）＋cedere（行く）
excedere（立ち去る, 超える）
&lt;span class="spacer"&gt;&lt;/span&gt;名詞を作る-usが付いて
excessus（超えること）</t>
  </si>
  <si>
    <t>14世紀
exces</t>
  </si>
  <si>
    <t>14世紀後期
通常や必要性を超えること, 過剰, 超過</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</si>
  <si>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</si>
  <si>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</si>
  <si>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</si>
  <si>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</si>
  <si>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</si>
  <si>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fama（話, 噂, 評判, 名声, 不名誉）</t>
  </si>
  <si>
    <t>12世紀
fame（名声, 評判, 噂）</t>
  </si>
  <si>
    <t>13世紀初頭
誰かに帰属させられる特徴
&lt;span class="spacer"&gt;&lt;/span&gt;13世紀後期
名声, 著名</t>
  </si>
  <si>
    <t>dead</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</si>
  <si>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</si>
  <si>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</si>
  <si>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</si>
  <si>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</si>
  <si>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</si>
  <si>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</si>
  <si>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</si>
  <si>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</si>
  <si>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</si>
  <si>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</si>
  <si>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</si>
  <si>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</si>
  <si>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</si>
  <si>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</si>
  <si>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</si>
  <si>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</si>
  <si>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</si>
  <si>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mittere（送る, 放つ, 置く）</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</si>
  <si>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</si>
  <si>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</si>
  <si>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</si>
  <si>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re（後ろへ）＋cedere（行く, 進む）
recedere（後退する）
&lt;span class="spacer"&gt;&lt;/span&gt;名詞を作る-ioが付いて
recessio（後退）</t>
  </si>
  <si>
    <t>récession（後退すること）</t>
  </si>
  <si>
    <t>1640年代
後退すること</t>
  </si>
  <si>
    <t>1929年の恐慌期
経済活動の後退, 不況</t>
  </si>
  <si>
    <t>12世紀
retrere（引き戻す）
&lt;span class="spacer"&gt;&lt;/span&gt;名詞になって
retret（引き戻すこと）</t>
  </si>
  <si>
    <t>retrete
&lt;span class="spacer"&gt;&lt;/span&gt;1300年頃
後退
&lt;span class="spacer"&gt;&lt;/span&gt;14世紀後期
退却または撤退すること</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</si>
  <si>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</si>
  <si>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</si>
  <si>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</si>
  <si>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</si>
  <si>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</si>
  <si>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</si>
  <si>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</si>
  <si>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</si>
  <si>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</si>
  <si>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</si>
  <si>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</si>
  <si>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</si>
  <si>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</si>
  <si>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sculpere（彫る, 刻む）
&lt;span class="spacer"&gt;&lt;/span&gt;名詞を作る-uraが付いて 
sculptura（彫られたもの, 彫刻）</t>
  </si>
  <si>
    <t>14世紀後期
彫刻すること
彫刻の技術や工程</t>
  </si>
  <si>
    <t>1610年代
彫刻された芸術作品</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</si>
  <si>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</si>
  <si>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</si>
  <si>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</si>
  <si>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</si>
  <si>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</si>
  <si>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日本語でも使われるコンデンスミルクのコンデンス（condense, 濃縮する）と関連させて覚える。</t>
  </si>
  <si>
    <t>densus（密集した, 混み合った）</t>
  </si>
  <si>
    <t>15世紀初頭
密に詰まった</t>
  </si>
  <si>
    <t>exo</t>
  </si>
  <si>
    <t>tic</t>
  </si>
  <si>
    <t>ex（外に）の形容詞として覚える。</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</si>
  <si>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</si>
  <si>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</si>
  <si>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</si>
  <si>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</si>
  <si>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</si>
  <si>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acidus（酸っぱい, 鋭い）</t>
  </si>
  <si>
    <t>16世紀
acide</t>
  </si>
  <si>
    <t>1620年代
酢の味がする
&lt;span class="spacer"&gt;&lt;/span&gt;1775年から
比喩的に、刺すような, 辛辣な
&lt;span class="spacer"&gt;&lt;/span&gt;1859年までに
acid rain（酸性雨）</t>
  </si>
  <si>
    <t>*bheid-（裂く, 割る）</t>
  </si>
  <si>
    <t>biter（味がきつい, 鋭い, 切るような, 辛辣な）</t>
  </si>
  <si>
    <t>sentire（感じる）
&lt;span class="spacer"&gt;&lt;/span&gt;過去分詞sensus（感覚）</t>
  </si>
  <si>
    <t>sensus（感覚）に形容詞を作る-bilis（できる）が付いて
sensibilis（五感によって感知できる, 感覚をもつ）</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</si>
  <si>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</si>
  <si>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</si>
  <si>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</si>
  <si>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</si>
  <si>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</si>
  <si>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</si>
  <si>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</si>
  <si>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</si>
  <si>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</si>
  <si>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</si>
  <si>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</si>
  <si>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</si>
  <si>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</si>
  <si>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</si>
  <si>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</si>
  <si>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</si>
  <si>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</si>
  <si>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</si>
  <si>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</si>
  <si>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</si>
  <si>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</si>
  <si>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</si>
  <si>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</si>
  <si>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</si>
  <si>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</si>
  <si>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</si>
  <si>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</si>
  <si>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</si>
  <si>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</si>
  <si>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</si>
  <si>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</si>
  <si>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</si>
  <si>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</si>
  <si>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</si>
  <si>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</si>
  <si>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</si>
  <si>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</si>
  <si>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</si>
  <si>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</si>
  <si>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</si>
  <si>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</si>
  <si>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</si>
  <si>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</si>
  <si>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</si>
  <si>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</si>
  <si>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</si>
  <si>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</si>
  <si>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</si>
  <si>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</si>
  <si>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</si>
  <si>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fee（妖精）＋erie（名詞化）</t>
  </si>
  <si>
    <t>fairie
&lt;span class="spacer"&gt;&lt;/span&gt;1300年頃
妖精の国
&lt;span class="spacer"&gt;&lt;/span&gt;14世紀後期
妖精</t>
  </si>
  <si>
    <t>sens</t>
  </si>
  <si>
    <t>sentire（感じる）
&lt;span class="spacer"&gt;&lt;/span&gt;過去分詞sensus（感覚）
&lt;span class="spacer"&gt;&lt;/span&gt;形容詞を作る-oriusが付いて
sensorius（感覚に関する）</t>
  </si>
  <si>
    <t>1749年
感覚に関する</t>
  </si>
  <si>
    <t>chron</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</si>
  <si>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</si>
  <si>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</si>
  <si>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</si>
  <si>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</si>
  <si>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</si>
  <si>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</si>
  <si>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</si>
  <si>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</si>
  <si>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</si>
  <si>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</si>
  <si>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</si>
  <si>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in（中に）＋clinare（曲げる）
inclinare（〜の中に曲げる, 傾かせる, 傾ける）</t>
  </si>
  <si>
    <t>encliner（傾く, 曲げる）</t>
  </si>
  <si>
    <t>1300年頃
〜の方へ曲げる
&lt;span class="spacer"&gt;&lt;/span&gt;過去分詞が形容詞になって
精神的傾向がある, 〜する傾向がある</t>
  </si>
  <si>
    <t>in（中に）＋ferre（運ぶ）
inferre（中へ運ぶ, 結論を出す, 推論する）</t>
  </si>
  <si>
    <t>1520年代
論理学において、推論の結果として導き出す
&lt;span class="spacer"&gt;&lt;/span&gt;1570年代
自動詞で、推論する, 推測する</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</si>
  <si>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</si>
  <si>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</si>
  <si>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</si>
  <si>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</si>
  <si>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</si>
  <si>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</si>
  <si>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</si>
  <si>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</si>
  <si>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</si>
  <si>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</si>
  <si>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ad（〜へ）＋venire（来る）
advenire（〜に来る）
&lt;span class="spacer"&gt;&lt;/span&gt;未来分詞adventura（起ころうとしている）</t>
  </si>
  <si>
    <t>11世紀
aventure（出来事, 偶然）</t>
  </si>
  <si>
    <t>aventureの短縮形でventuren
&lt;span class="spacer"&gt;&lt;/span&gt;1500年頃
何かを失う危険を冒す
危険に身を投じる
&lt;span class="spacer"&gt;&lt;/span&gt;1550年代
あえて〜する</t>
  </si>
  <si>
    <t>celerate</t>
  </si>
  <si>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</si>
  <si>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</si>
  <si>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</si>
  <si>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</si>
  <si>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</si>
  <si>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</si>
  <si>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</si>
  <si>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</si>
  <si>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</si>
  <si>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</si>
  <si>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</si>
  <si>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</si>
  <si>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</si>
  <si>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</si>
  <si>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</si>
  <si>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</si>
  <si>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</si>
  <si>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</si>
  <si>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</si>
  <si>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</si>
  <si>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</si>
  <si>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</si>
  <si>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</si>
  <si>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</si>
  <si>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1580年代
擬音語で、弱く鋭い音を立てさせる
&lt;span class="spacer"&gt;&lt;/span&gt;1610年代
カチッという音がする</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</si>
  <si>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</si>
  <si>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</si>
  <si>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</si>
  <si>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</si>
  <si>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1200年頃
鋭い道具で切る（おそらく擬音語）</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</si>
  <si>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</si>
  <si>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</si>
  <si>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</si>
  <si>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</si>
  <si>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</si>
  <si>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</si>
  <si>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</si>
  <si>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</si>
  <si>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temptare（触れる, 試す）</t>
  </si>
  <si>
    <t>12世紀
tempter</t>
  </si>
  <si>
    <t>tempten
&lt;span class="spacer"&gt;&lt;/span&gt;1200年
人を罪や悪へと誘惑する</t>
  </si>
  <si>
    <t>with</t>
  </si>
  <si>
    <t>ここではwithが古い意味の「離れて」を保持している。
draw（引く）はそのままの意味。</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</si>
  <si>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</si>
  <si>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</si>
  <si>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</si>
  <si>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</si>
  <si>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</si>
  <si>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</si>
  <si>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</si>
  <si>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</si>
  <si>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</si>
  <si>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deagian（染める）</t>
  </si>
  <si>
    <t>deien（着色液に浸すことによって何かに色を定着させる）</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</si>
  <si>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</si>
  <si>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</si>
  <si>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</si>
  <si>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</si>
  <si>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1530年代
行動を促す, 駆り立てる
&lt;span class="spacer"&gt;&lt;/span&gt;1590年代
いらだたせる</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</si>
  <si>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</si>
  <si>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</si>
  <si>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</si>
  <si>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</si>
  <si>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</si>
  <si>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</si>
  <si>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</si>
  <si>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</si>
  <si>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</si>
  <si>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</si>
  <si>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</si>
  <si>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</si>
  <si>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</si>
  <si>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</si>
  <si>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</si>
  <si>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</si>
  <si>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</si>
  <si>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</si>
  <si>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</si>
  <si>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</si>
  <si>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for（完全に）＋giefan（与える）
forgiefan（与える, 承諾する, 負債を免除する, 許す）</t>
  </si>
  <si>
    <t>foryeven</t>
  </si>
  <si>
    <t>vise</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</si>
  <si>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</si>
  <si>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</si>
  <si>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</si>
  <si>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</si>
  <si>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</si>
  <si>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</si>
  <si>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</si>
  <si>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</si>
  <si>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</si>
  <si>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</si>
  <si>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</si>
  <si>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</si>
  <si>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cruissir（歯をぎしぎし鳴らす, 粉砕する）</t>
  </si>
  <si>
    <t>14世紀半ば
粉々に砕く, 押しつぶす</t>
  </si>
  <si>
    <t>pinn（留め具のピン）</t>
  </si>
  <si>
    <t>pinnen
&lt;span class="spacer"&gt;&lt;/span&gt;14世紀半ば
ピンで留める</t>
  </si>
  <si>
    <t>cover（覆う）の反対として覚える。</t>
  </si>
  <si>
    <t>un（〜の逆）＋cover（覆う）
&lt;span class="spacer"&gt;&lt;/span&gt;14世紀初頭
明らかにする
&lt;span class="spacer"&gt;&lt;/span&gt;14世紀後期
ふたや覆いを取り除く</t>
  </si>
  <si>
    <t>ploit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</si>
  <si>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</si>
  <si>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</si>
  <si>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</si>
  <si>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</si>
  <si>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</si>
  <si>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</si>
  <si>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</si>
  <si>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</si>
  <si>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</si>
  <si>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</si>
  <si>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</si>
  <si>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</si>
  <si>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</si>
  <si>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</si>
  <si>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</si>
  <si>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</si>
  <si>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filum（糸）</t>
  </si>
  <si>
    <t>filare（紡ぐ, 線を引く）</t>
  </si>
  <si>
    <t>1650年代
何らかの輪郭を描いたもの
特に横から見た人の顔の描写
&lt;span class="spacer"&gt;&lt;/span&gt;1660年代
横顔
&lt;span class="spacer"&gt;&lt;/span&gt;1734年から
人物紹介</t>
  </si>
  <si>
    <t>petite</t>
  </si>
  <si>
    <t>ad（〜へ）＋petere（求める）
appetere（〜に向かって求める, 切望する）
&lt;span class="spacer"&gt;&lt;/span&gt;過去分詞appetitus（食欲, 切望）</t>
  </si>
  <si>
    <t>apetit（食欲, 欲望）</t>
  </si>
  <si>
    <t>appetit</t>
  </si>
  <si>
    <t>1300年頃
食べ物への欲望</t>
  </si>
  <si>
    <t>pulse</t>
  </si>
  <si>
    <t>in（中に）＋pellere（押す）
impellere（〜の中に押す, 押し込む）
&lt;span class="spacer"&gt;&lt;/span&gt;過去分詞impulsus（押すこと, 衝撃, 刺激）</t>
  </si>
  <si>
    <t>15世紀初頭
突き動かす力, 衝撃</t>
  </si>
  <si>
    <t>1640年代
心を何らかの行動へと駆り立てる衝動</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</si>
  <si>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</si>
  <si>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</si>
  <si>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</si>
  <si>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</si>
  <si>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</si>
  <si>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</si>
  <si>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</si>
  <si>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</si>
  <si>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</si>
  <si>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</si>
  <si>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</si>
  <si>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</si>
  <si>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</si>
  <si>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</si>
  <si>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</si>
  <si>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</si>
  <si>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</si>
  <si>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</si>
  <si>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</si>
  <si>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</si>
  <si>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</si>
  <si>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</si>
  <si>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</si>
  <si>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syn（共に）＋dromos（走ること, コース）
syndromos（共に走ること, いくつかの道が交わる場所）
&lt;span class="spacer"&gt;&lt;/span&gt;syndrome（集合, 症状の同時発生）</t>
  </si>
  <si>
    <t>syndrome（症状の同時発生）</t>
  </si>
  <si>
    <t>1540年代
同時に現れる複数の症状</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</si>
  <si>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</si>
  <si>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</si>
  <si>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</si>
  <si>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</si>
  <si>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</si>
  <si>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</si>
  <si>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</si>
  <si>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</si>
  <si>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</si>
  <si>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</si>
  <si>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</si>
  <si>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</si>
  <si>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</si>
  <si>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</si>
  <si>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</si>
  <si>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</si>
  <si>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heord（群れ, 家畜の集まり）</t>
  </si>
  <si>
    <t>1200年頃
野生か家畜かを問わず、あらゆる動物の群れ</t>
  </si>
  <si>
    <t>flu</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</si>
  <si>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</si>
  <si>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</si>
  <si>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</si>
  <si>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</si>
  <si>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</si>
  <si>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</si>
  <si>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</si>
  <si>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presbys（古い）
&lt;span class="spacer"&gt;&lt;/span&gt;比較級になって
presbyteros（より年長の者, 長老）</t>
  </si>
  <si>
    <t>presbyter（長老, 司祭）</t>
  </si>
  <si>
    <t>*prester（司祭）</t>
  </si>
  <si>
    <t>preost</t>
  </si>
  <si>
    <t>prēst（司祭, 聖職者）</t>
  </si>
  <si>
    <t>quaint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</si>
  <si>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</si>
  <si>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</si>
  <si>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</si>
  <si>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</si>
  <si>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</si>
  <si>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</si>
  <si>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of（〜から離れて）＋springan（跳ねる）
offspring（誰かから飛び出してきた者たち, 子孫）</t>
  </si>
  <si>
    <t>fames（飢え, 飢饉）</t>
  </si>
  <si>
    <t>*famina</t>
  </si>
  <si>
    <t>12世紀
famine（飢饉）</t>
  </si>
  <si>
    <t>14世紀半ば
飢饉</t>
  </si>
  <si>
    <t>forest</t>
  </si>
  <si>
    <t>ation</t>
  </si>
  <si>
    <t>de＋forestから覚える。</t>
  </si>
  <si>
    <t>de（除去）＋forest（森林）
&lt;span class="spacer"&gt;&lt;/span&gt;1842年
森林を伐採して除去する
&lt;span class="spacer"&gt;&lt;/span&gt;1870年、名詞になって
ある地域または区域の森林を切り倒して取り払う行為</t>
  </si>
  <si>
    <t>cavea（囲い, 檻, 洞穴）</t>
  </si>
  <si>
    <t>caveola（小さな檻）</t>
  </si>
  <si>
    <t>gabiola（檻）</t>
  </si>
  <si>
    <t>jaiole（檻）</t>
  </si>
  <si>
    <t>jaile
&lt;span class="spacer"&gt;&lt;/span&gt;1300年頃
拘置所, 刑務所</t>
  </si>
  <si>
    <t>mod</t>
  </si>
  <si>
    <t>15世紀
commodit（利益）</t>
  </si>
  <si>
    <t>15世紀初頭
利益, 便利なもの, 有用なもの, 商品</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</si>
  <si>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</si>
  <si>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</si>
  <si>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</si>
  <si>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</si>
  <si>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</si>
  <si>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</si>
  <si>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</si>
  <si>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</si>
  <si>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</si>
  <si>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</si>
  <si>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1600年頃
ドリルで穴を開ける
&lt;span class="spacer"&gt;&lt;/span&gt;1620年代
おそらく軍事演習で部隊を回れ右・方向転換することから、軍事訓練を行う
&lt;span class="spacer"&gt;&lt;/span&gt;1630年代、名詞になって
兵士の訓練</t>
  </si>
  <si>
    <t>abili</t>
  </si>
  <si>
    <t>habere（持つ）
&lt;span class="spacer"&gt;&lt;/span&gt;形容詞を作る-ilisが付いて
habilis（持ちやすい, 扱いやすい, 適した）
&lt;span class="spacer"&gt;&lt;/span&gt;名詞を作る-tasが付いて
habilitas（適性, 能力）</t>
  </si>
  <si>
    <t>ableté（能力）</t>
  </si>
  <si>
    <t>1500年頃
できない状態, 無能, 無力</t>
  </si>
  <si>
    <t>public</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</si>
  <si>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</si>
  <si>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</si>
  <si>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</si>
  <si>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</si>
  <si>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battuere（打つ）</t>
  </si>
  <si>
    <t>com（共に）＋battuere（打つ）
combattere（共に打ち合う）</t>
  </si>
  <si>
    <t>12世紀
combattre</t>
  </si>
  <si>
    <t>1560年代
戦う, 争う
名詞で、戦い, 対立する勢力間での争い</t>
  </si>
  <si>
    <t>bris</t>
  </si>
  <si>
    <t>brisare（砕く, 壊す）</t>
  </si>
  <si>
    <t>de（完全に）＋briser（壊す）
debriser（壊す, 粉砕する）</t>
  </si>
  <si>
    <t>16世紀、名詞になって
débris（破壊語に残ったもの, 残骸, 破片）</t>
  </si>
  <si>
    <t>1708年
破壊によって生じた瓦礫や残骸</t>
  </si>
  <si>
    <t>1919年から
微生物, 細菌, 病原菌</t>
  </si>
  <si>
    <t>fract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</si>
  <si>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</si>
  <si>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</si>
  <si>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</si>
  <si>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</si>
  <si>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</si>
  <si>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</si>
  <si>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</si>
  <si>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</si>
  <si>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14世紀後期
人差し指</t>
  </si>
  <si>
    <t>16世紀後期
書物の索引
&lt;span class="spacer"&gt;&lt;/span&gt;1590年代
器具の指針, 時計の針
&lt;span class="spacer"&gt;&lt;/span&gt;1870年から
指標</t>
  </si>
  <si>
    <t>intuition</t>
  </si>
  <si>
    <t>tuit</t>
  </si>
  <si>
    <t>in（中に）＋tueri（見る, 見守る）
intueri（注意して見る, 考察する）
&lt;span class="spacer"&gt;&lt;/span&gt;名詞を作る-ioが付いて
intuitio（観察, 考察）</t>
  </si>
  <si>
    <t>intuicioun
&lt;span class="spacer"&gt;&lt;/span&gt;15世紀半ば
洞察, 直接的認識, 精神的な知覚</t>
  </si>
  <si>
    <t>movere（動かす：moveの語源）
&lt;span class="spacer"&gt;&lt;/span&gt;過去分詞motus（動き, 運動）</t>
  </si>
  <si>
    <t>motif（動かすもの, 衝動, 動機）</t>
  </si>
  <si>
    <t>14世紀後期
&lt;span class="obsolete"&gt;提示された事柄, 主張（現在は廃用）&lt;/span&gt;
&lt;span class="spacer"&gt;&lt;/span&gt;15世紀初頭
人を内側から動かして行動させたもの
行動の意図や目的, 動機</t>
  </si>
  <si>
    <t>con（共に）＋sentire（感じる）
consentire（共に感じる, 同意する）</t>
  </si>
  <si>
    <t>12世紀
consentir（同意する）
&lt;span class="spacer"&gt;&lt;/span&gt;名詞になって
consente</t>
  </si>
  <si>
    <t>1300年頃
同意, 承諾</t>
  </si>
  <si>
    <t>hier</t>
  </si>
  <si>
    <t>archy</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</si>
  <si>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</si>
  <si>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</si>
  <si>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</si>
  <si>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</si>
  <si>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</si>
  <si>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</si>
  <si>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</si>
  <si>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</si>
  <si>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</si>
  <si>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</si>
  <si>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</si>
  <si>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</si>
  <si>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</si>
  <si>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</si>
  <si>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</si>
  <si>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</si>
  <si>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</si>
  <si>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</si>
  <si>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</si>
  <si>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</si>
  <si>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</si>
  <si>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</si>
  <si>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</si>
  <si>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</si>
  <si>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</si>
  <si>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</si>
  <si>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straight（まっすぐ）＋forward（前方へ）
&lt;span class="spacer"&gt;&lt;/span&gt;1806年から
率直な, 正直な
&lt;span class="spacer"&gt;&lt;/span&gt;1807年までに
まっすぐ前方へ</t>
  </si>
  <si>
    <t>cosmet</t>
  </si>
  <si>
    <t>日本語でも使われるコスメ（化粧品）と関連させて覚える。</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</si>
  <si>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</si>
  <si>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</si>
  <si>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</si>
  <si>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</si>
  <si>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</si>
  <si>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</si>
  <si>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</si>
  <si>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</si>
  <si>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</si>
  <si>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</si>
  <si>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</si>
  <si>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</si>
  <si>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</si>
  <si>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</si>
  <si>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</si>
  <si>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</si>
  <si>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</si>
  <si>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</si>
  <si>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aisthanesthai（感覚や精神で知覚する, 感じる）
&lt;span class="spacer"&gt;&lt;/span&gt;形容詞を作る-ikosが付いて
aisthetikos（感覚による知覚の, 知覚能力ある, 物が知覚できる）</t>
  </si>
  <si>
    <t>どドイツ語</t>
  </si>
  <si>
    <t>18世紀半ば
Ästhetisch</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</si>
  <si>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</si>
  <si>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</si>
  <si>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</si>
  <si>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</si>
  <si>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</si>
  <si>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</si>
  <si>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</si>
  <si>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historia（記述, 歴史）
&lt;span class="spacer"&gt;&lt;/span&gt;形容詞を作る-ikosが付いて
historikos（歴史的な）</t>
  </si>
  <si>
    <t>historicus（歴史的な, 歴史の）</t>
  </si>
  <si>
    <t>15世紀初頭、形容詞を作る-alが付いて
historical（歴史に関する）</t>
  </si>
  <si>
    <t>nate</t>
  </si>
  <si>
    <t>in（中に）＋nasci（生まれる）
innasci（〜の中に生まれる, 〜の中で生じる）</t>
  </si>
  <si>
    <t>innatus（生まれつきの, 土着の, 自然な）</t>
  </si>
  <si>
    <t>15世紀初頭
出生時から存在する</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</si>
  <si>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</si>
  <si>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</si>
  <si>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</si>
  <si>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</si>
  <si>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</si>
  <si>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</si>
  <si>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</si>
  <si>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</si>
  <si>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</si>
  <si>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</si>
  <si>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a（強調）＋scamian（恥じる）
ascamian（恥を感じる）
&lt;span class="spacer"&gt;&lt;/span&gt;過去分詞asceamed（恥を感じている, 恥に満ちた）</t>
  </si>
  <si>
    <t>hum</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</si>
  <si>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</si>
  <si>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</si>
  <si>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</si>
  <si>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</si>
  <si>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</si>
  <si>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</si>
  <si>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</si>
  <si>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</si>
  <si>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</si>
  <si>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</si>
  <si>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</si>
  <si>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</si>
  <si>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</si>
  <si>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</si>
  <si>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</si>
  <si>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</si>
  <si>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</si>
  <si>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</si>
  <si>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</si>
  <si>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</si>
  <si>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</si>
  <si>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</si>
  <si>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</si>
  <si>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on-going（進行中の, 継続している）</t>
  </si>
  <si>
    <t>sure</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</si>
  <si>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</si>
  <si>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</si>
  <si>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</si>
  <si>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</si>
  <si>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</si>
  <si>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</si>
  <si>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</si>
  <si>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</si>
  <si>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</si>
  <si>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</si>
  <si>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</si>
  <si>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</si>
  <si>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</si>
  <si>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</si>
  <si>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</si>
  <si>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blostma（ひとつの蕾, ひとつの花）</t>
  </si>
  <si>
    <t>blosmen
&lt;span class="spacer"&gt;&lt;/span&gt;14世紀後期
開花する
&lt;span class="spacer"&gt;&lt;/span&gt;14世紀後期
比喩的に、発展する</t>
  </si>
  <si>
    <t>terrere（恐れで満たす）＋facere（作る, する）
terrificus（恐怖を引き起こす）
&lt;span class="spacer"&gt;&lt;/span&gt;動詞になって
terrificare（怖がらせる, 恐怖で満たす）</t>
  </si>
  <si>
    <t>1570年代
怖がらせる</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</si>
  <si>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</si>
  <si>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</si>
  <si>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</si>
  <si>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</si>
  <si>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</si>
  <si>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</si>
  <si>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decevoir（だます, 欺く）</t>
  </si>
  <si>
    <t>1300年頃
偽りの外見や言葉で誤らせる
だます</t>
  </si>
  <si>
    <t>mani</t>
  </si>
  <si>
    <t>pulate</t>
  </si>
  <si>
    <t>manipulation</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</si>
  <si>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</si>
  <si>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</si>
  <si>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</si>
  <si>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</si>
  <si>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*pleu-（流れる）</t>
  </si>
  <si>
    <t>fleon（逃げる, 避ける）</t>
  </si>
  <si>
    <t>日本語でも使われるウィスパーボイス（ささやき声）と関連させて覚える。</t>
  </si>
  <si>
    <t>hwisprian（非常に静かに話す, ささやく）</t>
  </si>
  <si>
    <t>1560年代
何かをささやく</t>
  </si>
  <si>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</si>
  <si>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</si>
  <si>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</si>
  <si>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</si>
  <si>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</si>
  <si>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</si>
  <si>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</si>
  <si>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</si>
  <si>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</si>
  <si>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</si>
  <si>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</si>
  <si>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</si>
  <si>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</si>
  <si>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pro（前へ）
longus（長い）</t>
  </si>
  <si>
    <t>prolongare（長くする, 延ばす）</t>
  </si>
  <si>
    <t>13世紀
prolonguer</t>
  </si>
  <si>
    <t>prolongen
&lt;span class="spacer"&gt;&lt;/span&gt;15世紀初頭
時間を延ばす, 延期する</t>
  </si>
  <si>
    <t>pict</t>
  </si>
  <si>
    <t>de（下に）＋pingere（描く：picture, paintの語源）
depingere（描き出す）
&lt;span class="spacer"&gt;&lt;/span&gt;過去分詞depictus</t>
  </si>
  <si>
    <t>15世紀初頭
肖像を描く, 描画する
&lt;span class="spacer"&gt;&lt;/span&gt;15世紀半ば
言葉で描写する</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</si>
  <si>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</si>
  <si>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</si>
  <si>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</si>
  <si>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</si>
  <si>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ex（外に）＋mittere（送る）
emittere（送り出す）</t>
  </si>
  <si>
    <t>1620年代
送り出す, 投げ出す, 放出する</t>
  </si>
  <si>
    <t>new</t>
  </si>
  <si>
    <t>日本語でも使われるリニューアル（renewal, 更新, 再生）と関連させて覚える。</t>
  </si>
  <si>
    <t>re（再び）＋neuen（新しくする, 回復させる）
reneuen
&lt;span class="spacer"&gt;&lt;/span&gt;14世紀後期
何かを新しいもののようにする
再開する, 補充する
&lt;span class="spacer"&gt;&lt;/span&gt;15世紀初頭
回復する, 再び繁栄する</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</si>
  <si>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</si>
  <si>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</si>
  <si>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</si>
  <si>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</si>
  <si>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</si>
  <si>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</si>
  <si>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</si>
  <si>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</si>
  <si>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</si>
  <si>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</si>
  <si>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</si>
  <si>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estrif（喧嘩, 争い）
&lt;span class="spacer"&gt;&lt;/span&gt;動詞になって
estriver（喧嘩する, 論争する, もがく）</t>
  </si>
  <si>
    <t>striven
&lt;span class="spacer"&gt;&lt;/span&gt;1200年頃
喧嘩する, 争う, 努力する</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</si>
  <si>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</si>
  <si>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</si>
  <si>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</si>
  <si>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</si>
  <si>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</si>
  <si>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</si>
  <si>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</si>
  <si>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</si>
  <si>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</si>
  <si>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</si>
  <si>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</si>
  <si>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</si>
  <si>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</si>
  <si>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</si>
  <si>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com（共に）＋putare（剪定する, 計算する）
computare（数える, 共に計算する）</t>
  </si>
  <si>
    <t>16世紀
computer（計算する）</t>
  </si>
  <si>
    <t>1630年代
計算によって決定する</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</si>
  <si>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</si>
  <si>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</si>
  <si>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</si>
  <si>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</si>
  <si>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</si>
  <si>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werse（より悪い：worseの語源）＋en（動詞化）
wersnen
&lt;span class="spacer"&gt;&lt;/span&gt;13世紀半ば
より悪くする</t>
  </si>
  <si>
    <t>1800年から1830年頃
自動詞で、より悪くなる</t>
  </si>
  <si>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</si>
  <si>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</si>
  <si>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</si>
  <si>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</si>
  <si>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</si>
  <si>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</si>
  <si>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</si>
  <si>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</si>
  <si>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</si>
  <si>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</si>
  <si>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</si>
  <si>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</si>
  <si>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</si>
  <si>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</si>
  <si>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</si>
  <si>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</si>
  <si>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</si>
  <si>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</si>
  <si>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</si>
  <si>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</si>
  <si>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</si>
  <si>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</si>
  <si>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dignite（尊厳, 特権, 名誉）</t>
  </si>
  <si>
    <t>1200年頃
ふさわしい状態, 価値があること, 尊厳
&lt;span class="spacer"&gt;&lt;/span&gt;1300年頃
高貴な職務, 名誉ある地位</t>
  </si>
  <si>
    <t>cri</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</si>
  <si>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</si>
  <si>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</si>
  <si>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</si>
  <si>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</si>
  <si>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</si>
  <si>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</si>
  <si>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</si>
  <si>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</si>
  <si>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</si>
  <si>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</si>
  <si>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</si>
  <si>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</si>
  <si>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</si>
  <si>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</si>
  <si>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</si>
  <si>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1650年代
神学用語で、（credenda信じるべき事柄に対して）実践するべき事柄
&lt;span class="spacer"&gt;&lt;/span&gt;1882年までに
会議でなされるべき議題</t>
  </si>
  <si>
    <t>main</t>
  </si>
  <si>
    <t>stream</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</si>
  <si>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</si>
  <si>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</si>
  <si>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</si>
  <si>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</si>
  <si>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</si>
  <si>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epi（〜の中に, 〜の間に）＋dēmos（人々）
epidēmia（人々の間に広がること, 流行病の蔓延）</t>
  </si>
  <si>
    <t>epidemia</t>
  </si>
  <si>
    <t>épidémique</t>
  </si>
  <si>
    <t>1600年頃
国民全体に共通する
国民全体に広く影響する（とくに病気について）</t>
  </si>
  <si>
    <t>break</t>
  </si>
  <si>
    <t>1300年頃
outbreak（閉じ込められた状態から突発的に外へ出る）</t>
  </si>
  <si>
    <t>1600年頃
突然の発生
激しい発現</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</si>
  <si>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</si>
  <si>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</si>
  <si>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</si>
  <si>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</si>
  <si>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</si>
  <si>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</si>
  <si>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</si>
  <si>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</si>
  <si>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</si>
  <si>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</si>
  <si>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</si>
  <si>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</si>
  <si>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clyster（自然に一緒に生えているものの集まり）</t>
  </si>
  <si>
    <t>人・動物・物の密集した集団</t>
  </si>
  <si>
    <t>1727年から
星の集まり, 星団</t>
  </si>
  <si>
    <t>pollen（製粉の粉, 細かい小麦粉）</t>
  </si>
  <si>
    <t>1520年代
細かい粉
&lt;span class="spacer"&gt;&lt;/span&gt;1760年
植物用語で、花粉
（1751年に植物学者のリンネが命名）</t>
  </si>
  <si>
    <t>*keup-（丸い容器）
&lt;span class="spacer"&gt;&lt;/span&gt;&lt;span class="obsolete"&gt;この印欧祖語からはcup（カップ）も生まれている&lt;/span&gt;</t>
  </si>
  <si>
    <t>hyf（ミツバチの巣箱）</t>
  </si>
  <si>
    <t>1630年代
群がっている場所, 忙しい場所</t>
  </si>
  <si>
    <t>rigat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</si>
  <si>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</si>
  <si>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</si>
  <si>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</si>
  <si>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</si>
  <si>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</si>
  <si>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</si>
  <si>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</si>
  <si>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</si>
  <si>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</si>
  <si>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</si>
  <si>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sui（自分自身の）
&lt;span class="spacer"&gt;&lt;/span&gt;caedere（殺す）＋ium（名詞化）
cidium（殺害）</t>
  </si>
  <si>
    <t>sui（自分自身の）＋cidium（殺害）
suicidium（自殺）</t>
  </si>
  <si>
    <t>1650年代
自分自身を意図的に殺すこと</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</si>
  <si>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</si>
  <si>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</si>
  <si>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</si>
  <si>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</si>
  <si>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</si>
  <si>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</si>
  <si>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</si>
  <si>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</si>
  <si>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</si>
  <si>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</si>
  <si>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</si>
  <si>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pro（前に）＋verbum（言葉）
proverbium（前に出された言葉, ことわざ, 格言）</t>
  </si>
  <si>
    <t>12世紀
proverbe</t>
  </si>
  <si>
    <t>1300年頃
経験から得られた真理を表す短い格言</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</si>
  <si>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</si>
  <si>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</si>
  <si>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</si>
  <si>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</si>
  <si>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</si>
  <si>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forma（形, 型）
&lt;span class="spacer"&gt;&lt;/span&gt;小さいことを表す-ulaが付いて
formula（小さな型, 雛形, 形式, 契約, 規定）</t>
  </si>
  <si>
    <t>1630年代
儀式や儀礼で用いられる定型句
&lt;span class="spacer"&gt;&lt;/span&gt;1796年から
数学の公式</t>
  </si>
  <si>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</si>
  <si>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</si>
  <si>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</si>
  <si>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</si>
  <si>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</si>
  <si>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</si>
  <si>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</si>
  <si>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</si>
  <si>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</si>
  <si>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</si>
  <si>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</si>
  <si>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</si>
  <si>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</si>
  <si>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cwið（子宮, 腹部）＋ey（卵）</t>
  </si>
  <si>
    <t>kidenere
&lt;span class="spacer"&gt;&lt;/span&gt;14世紀初頭
腎臓</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</si>
  <si>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</si>
  <si>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</si>
  <si>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</si>
  <si>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</si>
  <si>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</si>
  <si>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</si>
  <si>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</si>
  <si>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</si>
  <si>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</si>
  <si>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</si>
  <si>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</si>
  <si>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</si>
  <si>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</si>
  <si>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</si>
  <si>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</si>
  <si>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skalli（頭蓋骨）</t>
  </si>
  <si>
    <t>sculle
&lt;span class="spacer"&gt;&lt;/span&gt;1200年頃
頭蓋骨</t>
  </si>
  <si>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</si>
  <si>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</si>
  <si>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</si>
  <si>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</si>
  <si>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</si>
  <si>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</si>
  <si>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</si>
  <si>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monos（1人の, 孤独な）
&lt;span class="spacer"&gt;&lt;/span&gt;名詞になって
教会ギリシャ語monakhos（1人で宗教修行する人, 修道士）</t>
    <phoneticPr fontId="1"/>
  </si>
  <si>
    <t>monachus（修道士）</t>
  </si>
  <si>
    <t>*monicus（修道士）</t>
  </si>
  <si>
    <t>*muniko-（修道士）</t>
  </si>
  <si>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</si>
  <si>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</si>
  <si>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</si>
  <si>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</si>
  <si>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</si>
  <si>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</si>
  <si>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</si>
  <si>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</si>
  <si>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</si>
  <si>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</si>
  <si>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</si>
  <si>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古典ギリシャ語</t>
    <phoneticPr fontId="1"/>
  </si>
  <si>
    <t>finishと関連させて覚える。</t>
    <rPh sb="7" eb="9">
      <t>カンレン</t>
    </rPh>
    <rPh sb="12" eb="13">
      <t>オボ</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</si>
  <si>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</si>
  <si>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</si>
  <si>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</si>
  <si>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</si>
  <si>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worth+whileとして覚える。</t>
    <rPh sb="14" eb="15">
      <t>オボ</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</si>
  <si>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</si>
  <si>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</si>
  <si>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</si>
  <si>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</si>
  <si>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</si>
  <si>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</si>
  <si>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</si>
  <si>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</si>
  <si>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</si>
  <si>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</si>
  <si>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</si>
  <si>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</si>
  <si>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</si>
  <si>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</si>
  <si>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</si>
  <si>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</si>
  <si>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</si>
  <si>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</si>
  <si>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</si>
  <si>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</si>
  <si>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</si>
  <si>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</si>
  <si>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</si>
  <si>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</si>
  <si>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</si>
  <si>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</si>
  <si>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</si>
  <si>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</si>
  <si>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</si>
  <si>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</si>
  <si>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</si>
  <si>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</si>
  <si>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</si>
  <si>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</si>
  <si>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</si>
  <si>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</si>
  <si>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</si>
  <si>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</si>
  <si>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</si>
  <si>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</si>
  <si>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</si>
  <si>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</si>
  <si>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</si>
  <si>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</si>
  <si>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</si>
  <si>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</si>
  <si>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</si>
  <si>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</si>
  <si>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</si>
  <si>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</si>
  <si>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</si>
  <si>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</si>
  <si>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</si>
  <si>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</si>
  <si>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</si>
  <si>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</si>
  <si>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</si>
  <si>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</si>
  <si>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</si>
  <si>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</si>
  <si>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</si>
  <si>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</si>
  <si>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</si>
  <si>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</si>
  <si>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</si>
  <si>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</si>
  <si>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</si>
  <si>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</si>
  <si>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</si>
  <si>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</si>
  <si>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</si>
  <si>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</si>
  <si>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</si>
  <si>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</si>
  <si>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</si>
  <si>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</si>
  <si>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</si>
  <si>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up（上へ, 最新へ）＋date（日付を記す, 年代を確定する）
&lt;span class="spacer"&gt;&lt;/span&gt;1944年
情報を最新のものにする</t>
  </si>
  <si>
    <t>fresh</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</si>
  <si>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</si>
  <si>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</si>
  <si>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</si>
  <si>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</si>
  <si>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</si>
  <si>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</si>
  <si>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</si>
  <si>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</si>
  <si>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</si>
  <si>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</si>
  <si>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</si>
  <si>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</si>
  <si>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</si>
  <si>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</si>
  <si>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</si>
  <si>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</si>
  <si>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</si>
  <si>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</si>
  <si>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</si>
  <si>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</si>
  <si>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</si>
  <si>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</si>
  <si>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</si>
  <si>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</si>
  <si>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</si>
  <si>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</si>
  <si>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</si>
  <si>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</si>
  <si>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</si>
  <si>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</si>
  <si>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</si>
  <si>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</si>
  <si>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</si>
  <si>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</si>
  <si>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</si>
  <si>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</si>
  <si>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</si>
  <si>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</si>
  <si>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</si>
  <si>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</si>
  <si>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</si>
  <si>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</si>
  <si>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</si>
  <si>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</si>
  <si>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</si>
  <si>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</si>
  <si>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</si>
  <si>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</si>
  <si>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</si>
  <si>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</si>
  <si>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</si>
  <si>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</si>
  <si>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</si>
  <si>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</si>
  <si>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</si>
  <si>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</si>
  <si>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</si>
  <si>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</si>
  <si>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</si>
  <si>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</si>
  <si>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</si>
  <si>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</si>
  <si>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</si>
  <si>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</si>
  <si>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</si>
  <si>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</si>
  <si>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</si>
  <si>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</si>
  <si>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</si>
  <si>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lige</t>
  </si>
  <si>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</si>
  <si>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</si>
  <si>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</si>
  <si>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</si>
  <si>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crammian（何かを別のものに押し込む）</t>
  </si>
  <si>
    <t>14世紀初頭
収容できる量を超えて詰め込む</t>
  </si>
  <si>
    <t>1803年までに
テストに合格するために短期間で知識を詰め込む勉強をする</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</si>
  <si>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</si>
  <si>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</si>
  <si>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under（下に）＋estimate（見積もる）
&lt;span class="spacer"&gt;&lt;/span&gt;1812年
低く見積もる
&lt;span class="spacer"&gt;&lt;/span&gt;1850年代
過小評価する</t>
  </si>
  <si>
    <t>clari</t>
  </si>
  <si>
    <t>clearにすると覚える。</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</si>
  <si>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</si>
  <si>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</si>
  <si>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</si>
  <si>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</si>
  <si>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</si>
  <si>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</si>
  <si>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</si>
  <si>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</si>
  <si>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</si>
  <si>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</si>
  <si>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</si>
  <si>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</si>
  <si>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</si>
  <si>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</si>
  <si>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</si>
  <si>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</si>
  <si>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</si>
  <si>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</si>
  <si>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glowan（熱や光を放つ, 赤く輝く）</t>
  </si>
  <si>
    <t>glouen（炎なしに輝く, 赤く光, 強い感情で紅潮する）</t>
  </si>
  <si>
    <t>guise</t>
  </si>
  <si>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</si>
  <si>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</si>
  <si>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</si>
  <si>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dis（完全に）＋torquere（ねじる, トルク）
distorquere（様々な方向へねじる, 歪める）
&lt;span class="spacer"&gt;&lt;/span&gt;過去分詞distortus</t>
  </si>
  <si>
    <t>1580年代
事実を歪める, 意味を歪める
&lt;span class="spacer"&gt;&lt;/span&gt;1630年代
物理的に形を歪める</t>
  </si>
  <si>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</si>
  <si>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</si>
  <si>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</si>
  <si>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</si>
  <si>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ab（離れて）＋adolere（成長する）
abolere（成長から離れる, 破壊する, 消し去る）</t>
  </si>
  <si>
    <t>15世紀
abolir（廃止する）
&lt;span class="spacer"&gt;&lt;/span&gt;現在分詞の一部aboliss</t>
  </si>
  <si>
    <t>15世紀半ば
終わらせる, 廃止する</t>
  </si>
  <si>
    <t>-striepan（略奪する, 奪い取る）</t>
  </si>
  <si>
    <t>strepen
&lt;span class="spacer"&gt;&lt;/span&gt;13世紀初頭
覆いを取り除く, 服を脱がせる</t>
  </si>
  <si>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</si>
  <si>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</si>
  <si>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</si>
  <si>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14世紀初頭
力任せに投げ下ろす, 不意に落とす</t>
  </si>
  <si>
    <t>1784年までに
大量に荷を下ろす
荷車などを傾けて中身を落とす</t>
  </si>
  <si>
    <t>1919年
捨てる, 見捨てる</t>
  </si>
  <si>
    <t>wefan（糸を交差させて形作る, 織物を織る, 考案する）</t>
  </si>
  <si>
    <t>weven
&lt;span class="spacer"&gt;&lt;/span&gt;14世紀後期
全体へと結合させる</t>
  </si>
  <si>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</si>
  <si>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</si>
  <si>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</si>
  <si>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</si>
  <si>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</si>
  <si>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en（〜にする）＋riche（豊かな）
enrichir（豊かにする）</t>
  </si>
  <si>
    <t>14世紀後期
豊かにする</t>
  </si>
  <si>
    <t>1590年代
望ましいものを豊富に供給する</t>
  </si>
  <si>
    <t>1945年
ある物質中の特定の同位体の含有率を高める, 濃縮化する</t>
  </si>
  <si>
    <t>co</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</si>
  <si>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</si>
  <si>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</si>
  <si>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</si>
  <si>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</si>
  <si>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</si>
  <si>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</si>
  <si>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</si>
  <si>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internus（内部の）</t>
  </si>
  <si>
    <t>interne（補助医師）</t>
  </si>
  <si>
    <t>1899年
intern（研修医, 実習生）＋ship（状態, 地位）</t>
  </si>
  <si>
    <t>let</t>
  </si>
  <si>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</si>
  <si>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</si>
  <si>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</si>
  <si>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</si>
  <si>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</si>
  <si>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</si>
  <si>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</si>
  <si>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pila（玉）
&lt;span class="spacer"&gt;&lt;/span&gt;小さいことを表す-ulaが付いて
pilula（小さい玉, 丸薬）</t>
  </si>
  <si>
    <t>pile（丸薬）</t>
  </si>
  <si>
    <t>pille</t>
  </si>
  <si>
    <t>pille
&lt;span class="spacer"&gt;&lt;/span&gt;1400年頃
飲み込みやすい丸い薬</t>
  </si>
  <si>
    <t>receiveの名詞として覚える。</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</si>
  <si>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</si>
  <si>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</si>
  <si>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</si>
  <si>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</si>
  <si>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</si>
  <si>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</si>
  <si>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</si>
  <si>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</si>
  <si>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</si>
  <si>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</si>
  <si>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</si>
  <si>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</si>
  <si>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</si>
  <si>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</si>
  <si>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</si>
  <si>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</si>
  <si>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</si>
  <si>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</si>
  <si>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</si>
  <si>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</si>
  <si>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</si>
  <si>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</si>
  <si>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</si>
  <si>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</si>
  <si>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</si>
  <si>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</si>
  <si>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</si>
  <si>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curs（災いが降りかかるよう祈ること, 呪い）</t>
  </si>
  <si>
    <t>14世紀初頭
誰かに呼び起こされた災い</t>
  </si>
  <si>
    <t>funer</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</si>
  <si>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</si>
  <si>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</si>
  <si>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</si>
  <si>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</si>
  <si>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</si>
  <si>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</si>
  <si>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</si>
  <si>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</si>
  <si>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</si>
  <si>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1530年代
教育の一般的な課程, 学問の体系
&lt;span class="spacer"&gt;&lt;/span&gt;1640年代
知識をまとめた書物
百科事典</t>
  </si>
  <si>
    <t>cere</t>
  </si>
  <si>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</si>
  <si>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</si>
  <si>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frag</t>
  </si>
  <si>
    <t>frag部分はbreakと関係する。</t>
  </si>
  <si>
    <t>frangere（壊す）
&lt;span class="spacer"&gt;&lt;/span&gt;名詞を作る-mentumが付いて
fragmentum（壊れて離れた一部分, 断片）</t>
  </si>
  <si>
    <t>15世紀初頭
小さな断片あるいは部分</t>
  </si>
  <si>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</si>
  <si>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</si>
  <si>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</si>
  <si>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robous
&lt;span class="spacer"&gt;&lt;/span&gt;1400年頃
廃材, 壊れた材料, 特に建物の解体で出る瓦礫
&lt;span class="spacer"&gt;&lt;/span&gt;15世紀初頭
スペルに-ishが付く</t>
  </si>
  <si>
    <t>1600年頃
価値のないもの, くだらないもの</t>
  </si>
  <si>
    <t>*mæs（混乱, 当惑：amazeに含まれる）</t>
  </si>
  <si>
    <t>1300年頃
錯乱, 困惑, 思考の混乱
&lt;span class="spacer"&gt;&lt;/span&gt;14世紀後期
迷宮, 困惑させる入り組んだ道や通路</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</si>
  <si>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</si>
  <si>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</si>
  <si>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</si>
  <si>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</si>
  <si>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triumphus（勝利, 成功, 勝利した将軍の祝賀行進）</t>
  </si>
  <si>
    <t>12世紀
triumphe</t>
  </si>
  <si>
    <t>triumphe
&lt;span class="spacer"&gt;&lt;/span&gt;14世紀後期
戦いの勝利, 成功, 偉業, 精神的勝利</t>
  </si>
  <si>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</si>
  <si>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</si>
  <si>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</si>
  <si>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</si>
  <si>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specere（見る）
&lt;span class="spacer"&gt;&lt;/span&gt;反復形spectare（繰り返し見る, 観察する）
&lt;span class="spacer"&gt;&lt;/span&gt;名詞を作る-or（〜する人）が付いて
spectator（見る人, 観客）</t>
  </si>
  <si>
    <t>1580年代
見物人, 観客</t>
  </si>
  <si>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</si>
  <si>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</si>
  <si>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</si>
  <si>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</si>
  <si>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</si>
  <si>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</si>
  <si>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comes（伯爵）</t>
  </si>
  <si>
    <t>comitatus（伯爵の管轄区域）</t>
  </si>
  <si>
    <t>counte</t>
  </si>
  <si>
    <t>14世紀半ば
国を構成する行政区
州（イギリス）</t>
  </si>
  <si>
    <t>1848年までに
郡（アメリカ）</t>
  </si>
  <si>
    <t>halh</t>
  </si>
  <si>
    <t>behalve
&lt;span class="spacer"&gt;&lt;/span&gt;1300年頃
〜の利益のために
〜のために
〜の立場で</t>
  </si>
  <si>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</si>
  <si>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</si>
  <si>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</si>
  <si>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</si>
  <si>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</si>
  <si>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</si>
  <si>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</si>
  <si>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</si>
  <si>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</si>
  <si>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blæd（葉, 船のオールなどの葉のような部分）</t>
  </si>
  <si>
    <t>1300年頃
肩甲骨の平たい骨
&lt;span class="spacer"&gt;&lt;/span&gt;14世紀初頭
ナイフや剣の刃</t>
  </si>
  <si>
    <t>thef</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</si>
  <si>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</si>
  <si>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</si>
  <si>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</si>
  <si>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vacuus（空の, 占有されていない）
&lt;span class="spacer"&gt;&lt;/span&gt;名詞になって
vacuum（空いている場所, 空虚な空間）</t>
  </si>
  <si>
    <t>1540年代
空虚な空間, 物質を含まない空間
&lt;span class="spacer"&gt;&lt;/span&gt;1650年代
空気を抜いた空間</t>
  </si>
  <si>
    <t>1474</t>
  </si>
  <si>
    <t>lis</t>
  </si>
  <si>
    <t>com（共に）＋laedere（打つ）
collidere（共に打ち当てる）</t>
  </si>
  <si>
    <t>collidereに名詞を作る-ioが付いて
collisio（激しくぶつかり合う）</t>
  </si>
  <si>
    <t>15世紀初頭
共に叩くこと, 激しくぶつかり合うこと</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</si>
  <si>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</si>
  <si>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</si>
  <si>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</si>
  <si>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</si>
  <si>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</si>
  <si>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</si>
  <si>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</si>
  <si>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</si>
  <si>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</si>
  <si>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</si>
  <si>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</si>
  <si>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traitié（議論, 取引, 合意）</t>
  </si>
  <si>
    <t>treté</t>
  </si>
  <si>
    <t>trēte
&lt;span class="spacer"&gt;&lt;/span&gt;14世紀後期
議論, 交渉, 合意
&lt;span class="spacer"&gt;&lt;/span&gt;15世紀初頭
国家間の正式に批准された条約や協定</t>
  </si>
  <si>
    <t>supre</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</si>
  <si>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</si>
  <si>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</si>
  <si>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</si>
  <si>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þurh / þurg / þuruh / þorh / þorch / þerh（通り抜けて：throughの語源）</t>
  </si>
  <si>
    <t>nacod（裸の）</t>
  </si>
  <si>
    <t>1200年頃
剥き出しの, 隠されていない</t>
  </si>
  <si>
    <t>naked eye（裸眼）</t>
  </si>
  <si>
    <t>sincerus（純粋な, 傷のない, 混じり気のない, 率直な, 正直な）</t>
  </si>
  <si>
    <t>16世紀
sincere</t>
  </si>
  <si>
    <t>1530年代
純粋な, 混じり気のない, 不純物のない, 偽善や虚偽のない</t>
  </si>
  <si>
    <t>tam（飼い慣らされた）</t>
  </si>
  <si>
    <t>1200年頃
人について、服従した状態にある, 行動が抑制された
&lt;span class="spacer"&gt;&lt;/span&gt;13世紀半ば
動物について、飼い慣らされた</t>
  </si>
  <si>
    <t>1600年頃
退屈な, 刺激のない</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</si>
  <si>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</si>
  <si>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</si>
  <si>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</si>
  <si>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dimm（暗い, 薄暗い, 不明瞭な）</t>
  </si>
  <si>
    <t>13世紀初頭
目について、はっきりと見えない
&lt;span class="spacer"&gt;&lt;/span&gt;14世紀初頭
音について、かすかな
光について、かすかに光</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</si>
  <si>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</si>
  <si>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</si>
  <si>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</si>
  <si>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metro</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</si>
  <si>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</si>
  <si>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</si>
  <si>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</si>
  <si>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</si>
  <si>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</si>
  <si>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</si>
  <si>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moneta（造幣所, 貨幣, 鋳造された硬貨）</t>
  </si>
  <si>
    <t>形容詞を作る-ariusが付いて
monetarius（金銭に関する）</t>
  </si>
  <si>
    <t>1802年
硬貨や通貨に関する
&lt;span class="spacer"&gt;&lt;/span&gt;1860年
金銭に関する</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</si>
  <si>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</si>
  <si>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</si>
  <si>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</si>
  <si>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</si>
  <si>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</si>
  <si>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</si>
  <si>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</si>
  <si>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</si>
  <si>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</si>
  <si>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</si>
  <si>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</si>
  <si>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12世紀
divin</t>
  </si>
  <si>
    <t>14世紀後期
神に関する, 神の性質を持つ, 神から発せられた</t>
  </si>
  <si>
    <t>drast</t>
  </si>
  <si>
    <t>1690年代
薬品について、強力な
&lt;span class="spacer"&gt;&lt;/span&gt;1808年までに
極端な, 過酷な</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</si>
  <si>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</si>
  <si>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</si>
  <si>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</si>
  <si>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solus（単独の, 唯一の）</t>
  </si>
  <si>
    <t>soul（唯一の, 単独の）</t>
  </si>
  <si>
    <t>14世紀後期
単一の, 単独の</t>
  </si>
  <si>
    <t>spont</t>
  </si>
  <si>
    <t>aneous</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</si>
  <si>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</si>
  <si>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</si>
  <si>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</si>
  <si>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</si>
  <si>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spatium（空間, 広がり）</t>
  </si>
  <si>
    <t>1838年から
spaceに形容詞を作る-alが付いてspacial
&lt;span class="spacer"&gt;&lt;/span&gt;1840年
空間を占める
&lt;span class="spacer"&gt;&lt;/span&gt;1857年から
空間の</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</si>
  <si>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</si>
  <si>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</si>
  <si>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</si>
  <si>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</si>
  <si>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</si>
  <si>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</si>
  <si>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</si>
  <si>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</si>
  <si>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</si>
  <si>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</si>
  <si>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</si>
  <si>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</si>
  <si>
    <t>creare（作る, 育てる, 生産する, 引き起こす）
&lt;span class="spacer"&gt;&lt;/span&gt;過去分詞creatus</t>
  </si>
  <si>
    <t>mean to do（〜することを意図する）という表現を覚えておく。</t>
  </si>
  <si>
    <t>consider「星を観察してものごとをよく考える」というイメージ。</t>
  </si>
  <si>
    <t>decideは「決心や決断によって頭や心から考え事を切り離す」というイメージ。</t>
  </si>
  <si>
    <t>ob（～に対して）+ferre（運ぶ）
offerre（差し出す, 与える, 前に持ってくる）</t>
  </si>
  <si>
    <t>requireはrequest（リクエスト）と同じ語源にさかのぼる語なので関連させて覚える。</t>
  </si>
  <si>
    <t>日本語でも使われるシェアする（共有する）やシェアハウスと関連させて覚える。</t>
  </si>
  <si>
    <t>tend（伸ばす）系はまとめて覚える。</t>
  </si>
  <si>
    <t>bearは「何かを抱えこむ」というイメージ。
bearの過去分詞はborn（子を抱えこんで生まれる）。</t>
  </si>
  <si>
    <t>1520年代
カードゲームでカードを配る</t>
  </si>
  <si>
    <t>1942年
deal (someone) in（事業などに参加させる）</t>
  </si>
  <si>
    <t>動詞化するize系はまとめて覚える。</t>
  </si>
  <si>
    <t>動詞化するen系はまとめて覚える。</t>
  </si>
  <si>
    <t>計測する道具であるメジャーと関連させて覚える。</t>
  </si>
  <si>
    <t>日本語でも使われるマーク（印）と関連させて覚える。</t>
  </si>
  <si>
    <t>challengeは「相手とは違う意見をぶつける」というイメージ。スポーツのチャレンジ（審判の判定に異議を唱える）はまさにこれを表している。</t>
  </si>
  <si>
    <t>pend（ぶら下がる）系はまとめて覚える。
pend部分は、首にぶら下がるペンダントの語源でもある。</t>
  </si>
  <si>
    <t>15世紀半ば
吊り下がっている
&lt;span class="spacer"&gt;&lt;/span&gt;
1500年頃から
頼る
&lt;span class="spacer"&gt;&lt;/span&gt;
1540年代から
依存している</t>
  </si>
  <si>
    <t>objecten
&lt;span class="spacer"&gt;&lt;/span&gt;1400年頃
反対する</t>
  </si>
  <si>
    <t>mand（命じる, 委ねる）系はまとめて覚える。</t>
  </si>
  <si>
    <t>ラテン語fundus（底, 基礎）系はまとめて覚える。</t>
  </si>
  <si>
    <t>日本語でも使われるコンプリート（完成させる）と同じ。
ラテン語plare（満たす）系はまとめて覚える。</t>
  </si>
  <si>
    <t>中学英語で習うbe interested inから「興味」という意味が思い浮かぶが、そもそもは「自分に関わる利害や利子」という意味だった。</t>
  </si>
  <si>
    <t>ラテン語circus（円）系はまとめて覚える。</t>
  </si>
  <si>
    <t>1530年代
recerche（調査）</t>
  </si>
  <si>
    <t>1570年代
特定の人や物を注意深く探すこと
&lt;span class="spacer"&gt;&lt;/span&gt;1630年代
科学的な研究, 調査
&lt;span class="spacer"&gt;&lt;/span&gt;1690年代
一般的な事物に関する調査</t>
  </si>
  <si>
    <t>becauseと関連させて覚える。原因・理由を述べるときに使うbecauseは、by cause（原因によって）が1語になったもの。</t>
  </si>
  <si>
    <t>1200年頃
決定理由, 根拠
&lt;span class="spacer"&gt;&lt;/span&gt;14世紀半ば
結果に対する原因
&lt;span class="spacer"&gt;&lt;/span&gt;14世紀後期
何かが起こる理由
行為を正当化する大義
&lt;span class="spacer"&gt;&lt;/span&gt;bi cause（＝by cause：原因によって）
これが1語になったものがbecause</t>
  </si>
  <si>
    <t>reas</t>
  </si>
  <si>
    <t>raison（思考, 経過）</t>
  </si>
  <si>
    <t>日本語でも使われるインフルエンサー（influencer, 影響力を持つ人）と関連させて覚える。</t>
  </si>
  <si>
    <t>14世紀後期
占星術用語で、星々から流れ出る力で人間の性格や運命に作用する力</t>
  </si>
  <si>
    <t>situat</t>
  </si>
  <si>
    <t>日本語でも使われるシチュエーション（状況, 立場）と同じ。</t>
  </si>
  <si>
    <t>situacioun
&lt;span class="spacer"&gt;&lt;/span&gt;15世紀初頭
位置, 場所</t>
  </si>
  <si>
    <t>1600年頃
environ+ment（名詞化）
取り囲まれている状態
&lt;span class="spacer"&gt;&lt;/span&gt;1827年までに
人や物が存在する条件の集合
&lt;span class="spacer"&gt;&lt;/span&gt;1956年
生きていく環境</t>
  </si>
  <si>
    <t>日本語でも使われるクリエイター（creator, 作り手）と関連させて覚える。</t>
    <phoneticPr fontId="1"/>
  </si>
  <si>
    <t>increaseは「中が膨らんで成長する＝大きくなる＝増える」というイメージ。</t>
  </si>
  <si>
    <t>improveは「プラスにする」というイメージ。</t>
  </si>
  <si>
    <t>日本語でも使われるオーナー（所有者, owner）と関連させて覚える。ownerからer（〜する人, 〜するもの）を消せば動詞own「所有する」となる。</t>
    <phoneticPr fontId="1"/>
  </si>
  <si>
    <t>ネット検索で文字を入力すると出る関連ワード、ショッピングサイトやSNSで出るおすすめ。これらはsuggestion（サジェスション, 提案, 示唆）と呼ばれる。suggestionはsuggest（提案する, 示唆する）の名詞。</t>
  </si>
  <si>
    <t>日本語でも使われるプロダクト（生産されたもの, 製品, product）やプロデューサー（生産者, producer）と関連させて覚える。</t>
    <rPh sb="24" eb="26">
      <t>セイヒン</t>
    </rPh>
    <phoneticPr fontId="1"/>
  </si>
  <si>
    <t>日本語でも使われるオファーする（相手に申し出る, 提供する）と関連させて覚える。</t>
  </si>
  <si>
    <t>storeは「店」という名詞が思い浮かぶが、店という意味は「保管する, 蓄える」場所という意味から発展した。</t>
    <phoneticPr fontId="1"/>
  </si>
  <si>
    <t>concernは「一緒にふるいにかけられて残る＝関係する」というイメージ。</t>
    <rPh sb="21" eb="22">
      <t>ノコ</t>
    </rPh>
    <rPh sb="24" eb="26">
      <t>カンケイ</t>
    </rPh>
    <phoneticPr fontId="1"/>
  </si>
  <si>
    <t>scribeやscriptは「書く」に関わる意味だと覚えておく。</t>
    <phoneticPr fontId="1"/>
  </si>
  <si>
    <t>volve部分は「巻く」という意味で、involveは「中に巻き込む＝関わらせる」というイメージ。</t>
    <phoneticPr fontId="1"/>
  </si>
  <si>
    <t>duce（導く）系はまとめて覚える。
reduceは「後ろに導く＝マイナスになる」というイメージ。</t>
  </si>
  <si>
    <t>日本語でも使われるデザインすると同じ。服のデザインや家のデザインから「設計や計画」という意味になる。
またsign（印）系の語はまとめて覚える。</t>
    <rPh sb="58" eb="59">
      <t>シルシ</t>
    </rPh>
    <phoneticPr fontId="1"/>
  </si>
  <si>
    <t>日本語のリミッターやタイムリミット(時間制限)と関連させて覚える。</t>
    <phoneticPr fontId="1"/>
  </si>
  <si>
    <t>affectはeffectと一緒に覚える。
affect：〜へ（a）行う
effect：行なって外へ（e）出たもの</t>
  </si>
  <si>
    <t>日本語でも使われるディーラー（dealer）と関連させて覚える。
トランプの手札を配るディーラー＝分配する人。
車などを販売するディーラー＝商う人。</t>
    <phoneticPr fontId="1"/>
  </si>
  <si>
    <t>avoidは「今いる場所を空にしてかわす＝避ける」というイメージ。</t>
  </si>
  <si>
    <t>compareは「共に等しいか比較する, 共に等しいものとして扱う＝たとえる」というイメージ。</t>
    <phoneticPr fontId="1"/>
  </si>
  <si>
    <t>sist（立つ）系はまとめて覚える。
exsistは「見えないところから外に立つ＝存在する」というイメージ。</t>
  </si>
  <si>
    <t>ject（投げる）系はまとめて覚える。
objectは「相手に対して投げつけて反対する」というイメージ。</t>
  </si>
  <si>
    <t>cor（心）系はまとめて覚える。
accordは「自分の心と相手の心がひとつになる＝一致」というイメージ。</t>
  </si>
  <si>
    <t>companyは「共にパン（食事）を食べる仲間」というイメージ。</t>
  </si>
  <si>
    <t>reasonは「頭で考えること＝理性, 理由」というイメージ。</t>
  </si>
  <si>
    <t>effectはaffectと一緒に覚える。
effect：行なって外へ（e）出たもの
affect：〜へ（a）行う</t>
  </si>
  <si>
    <t xml:space="preserve">environmentは「取り囲むもの＝環境」というイメージ。
</t>
    <phoneticPr fontId="1"/>
  </si>
  <si>
    <t>日本語でも使われるスキルと同じ。</t>
  </si>
  <si>
    <t>matter, material, motherはすべて同じ語源にさかのぼる。「母＝根源＝中心となるもの」というイメージ。</t>
  </si>
  <si>
    <t>mater（母, 起源, 源）
&lt;span class="spacer"&gt;&lt;/span&gt;名詞を作る-iaが付いて
materia（木の芯, 何かが作られるもととなる物質）</t>
  </si>
  <si>
    <t>1200年頃
思考・発話・表現の対象
文学作品の主題
&lt;span class="spacer"&gt;&lt;/span&gt;1300年頃
物語
&lt;span class="spacer"&gt;&lt;/span&gt;14世紀半ば
一般的な物質
&lt;span class="spacer"&gt;&lt;/span&gt;14世紀後期
特定の物体を構成する物質
事柄, 議論の問題</t>
  </si>
  <si>
    <t>日本語でも使われるオーシャンビュー（海が見える眺め）と関連させて覚える。</t>
    <rPh sb="18" eb="19">
      <t>ウミ</t>
    </rPh>
    <rPh sb="20" eb="21">
      <t>ミ</t>
    </rPh>
    <rPh sb="23" eb="24">
      <t>ナガ</t>
    </rPh>
    <phoneticPr fontId="1"/>
  </si>
  <si>
    <t>日本語でも使われるネームバリュー（名前の価値）と関連させて覚える。</t>
  </si>
  <si>
    <t>speciesは「全体の中の一部分＝生物全体の中の種」というイメージ。</t>
  </si>
  <si>
    <t>thinkから生まれた名詞として覚えればよい。</t>
  </si>
  <si>
    <t>þencan（考える）
&lt;span class="spacer"&gt;&lt;/span&gt;sþoht / geþoht（考え）
&lt;span class="spacer"&gt;&lt;/span&gt;&lt;span class="obsolete"&gt;"þ"は現代英語の"th"&lt;/span&gt;</t>
  </si>
  <si>
    <t>know（知っている）の名詞として覚えればよい。
印欧祖語*gno-（知る）系はまとめて覚える。</t>
  </si>
  <si>
    <t>日本語でも使われるメモリー（記憶, 思い出）と同じ。
memor（覚える）系はまとめて覚える。</t>
    <phoneticPr fontId="1"/>
  </si>
  <si>
    <t>practiceは「実際に行うこと＝実践」で、それを繰り返せば「練習, 慣習」になるというイメージ。</t>
    <rPh sb="26" eb="27">
      <t>ク</t>
    </rPh>
    <rPh sb="28" eb="29">
      <t>カエ</t>
    </rPh>
    <phoneticPr fontId="1"/>
  </si>
  <si>
    <t>bene部分は「良く」を意味する「プラスのイメージ」で、フランス語bonjour（＝good morning）のbonや英語bonus（ボーナス, よい物）と関連する。</t>
    <phoneticPr fontId="1"/>
  </si>
  <si>
    <t>日本語でも使われるセオリー（理論）と同じ。</t>
  </si>
  <si>
    <t>issueは「表に出てきたもの」というイメージ。</t>
    <phoneticPr fontId="1"/>
  </si>
  <si>
    <t>experimentは「試してみて結果を外に出すこと」というイメージ。</t>
  </si>
  <si>
    <t>articleは「全体を小さく分けたパーツ」というイメージ。</t>
  </si>
  <si>
    <t>artus（関節）
&lt;span class="spacer"&gt;&lt;/span&gt;小さいことを表す-culusが付いて
articulus（部分, 関節）</t>
  </si>
  <si>
    <t>focusは「集中させる一箇所の点」というイメージ。
日本語でもカメラのフォーカス（焦点）や何かにフォーカスを当てるという使い方をする。</t>
    <phoneticPr fontId="1"/>
  </si>
  <si>
    <t>ject（投げる）系はまとめて覚える。
subjectは「下に投げられたもの」というイメージ。</t>
  </si>
  <si>
    <t>12世紀
subget（従属する人や物）</t>
  </si>
  <si>
    <t>subget
&lt;span class="spacer"&gt;&lt;/span&gt;14世紀初期
他者の支配や統治下にある人</t>
  </si>
  <si>
    <t>ject（投げる）系はまとめて覚える。
projectは「時間的に前方（未来）に投げられたもの」というイメージ。</t>
    <rPh sb="36" eb="38">
      <t>ミライ</t>
    </rPh>
    <phoneticPr fontId="1"/>
  </si>
  <si>
    <t>日本語のクオリティと同じ。
quantity（量）とセットで覚える。</t>
  </si>
  <si>
    <t>rota（車輪）
&lt;span class="spacer"&gt;&lt;/span&gt;小さなこと表す-ulaが付いて
rotula（小さな車輪）</t>
  </si>
  <si>
    <t>termは「範囲が定められているもの」というイメージ。</t>
  </si>
  <si>
    <t>statementは「述べる（state）こと（ment）」と覚える。</t>
  </si>
  <si>
    <t>material, matter, motherはすべて同じ語源にさかのぼる。「母＝根源＝中心となるもの」というイメージ。</t>
  </si>
  <si>
    <t>evidenceは「はっきり見えるもの」というイメージ。</t>
  </si>
  <si>
    <t>source</t>
  </si>
  <si>
    <t>日本語でも使われる情報のソース（源）と関連させて覚える。</t>
  </si>
  <si>
    <t>日本語でも使われるコミュニティ＝「人の集まり」として覚えればよい。</t>
    <phoneticPr fontId="1"/>
  </si>
  <si>
    <t>com（共に）+munis（義務）
communis（義務を共有する, 共通の）
&lt;span class="spacer"&gt;&lt;/span&gt;名詞を作る-tasが付いて
communitas（社交的な関係, 共同体）</t>
  </si>
  <si>
    <t>日本語のテクノロジーと同じ。</t>
  </si>
  <si>
    <t>cultureは「畑を耕して土壌を育てるように時間をかけて作られていくもの」というイメージ。</t>
  </si>
  <si>
    <t>ge（共に）lic（体, 形）
gelic（対応する体を持つ, 同じ形を持つ, 似ている）
&lt;span class="spacer"&gt;&lt;/span&gt;形容詞を作る-licが付いて
geliclic（似ている, 同様の）</t>
    <rPh sb="3" eb="4">
      <t>トモ</t>
    </rPh>
    <rPh sb="10" eb="11">
      <t>カラダ</t>
    </rPh>
    <rPh sb="13" eb="14">
      <t>カタチ</t>
    </rPh>
    <rPh sb="74" eb="77">
      <t>ケイヨウシ</t>
    </rPh>
    <rPh sb="104" eb="106">
      <t>ドウヨウ</t>
    </rPh>
    <phoneticPr fontId="1"/>
  </si>
  <si>
    <t>1520年代
考えや提案を他人の前に置く
提案する
&lt;span class="spacer"&gt;&lt;/span&gt;&lt;span class="obsolete"&gt;1600年頃&lt;/span&gt;
&lt;span class="obsolete"&gt;名詞suggestionでは、あるアイデアが別のアイデアを連想させること、という意味で使われる&lt;/span&gt;
&lt;span class="spacer"&gt;&lt;/span&gt;1709年から
示唆する</t>
    <rPh sb="81" eb="83">
      <t>ネンコロ</t>
    </rPh>
    <rPh sb="114" eb="116">
      <t>メイシ</t>
    </rPh>
    <rPh sb="136" eb="137">
      <t>ベツ</t>
    </rPh>
    <rPh sb="143" eb="145">
      <t>レンソウ</t>
    </rPh>
    <rPh sb="154" eb="156">
      <t>イミ</t>
    </rPh>
    <rPh sb="157" eb="158">
      <t>ツカ</t>
    </rPh>
    <rPh sb="205" eb="207">
      <t>シサ</t>
    </rPh>
    <phoneticPr fontId="1"/>
  </si>
  <si>
    <t>memor</t>
  </si>
  <si>
    <t>roleは「巻物に書かれた演劇の役」というイメージ。スペルは異なるがroll（巻く, ロールする）と同じ語源にさかのぼる。
&lt;span class="spacer"&gt;&lt;/span&gt;RPG（ロール・プレイング・ゲーム）は、プレイヤーが操作キャラクターの役割を演じるゲームのこと。</t>
    <rPh sb="116" eb="118">
      <t>ソウサ</t>
    </rPh>
    <rPh sb="125" eb="127">
      <t>ヤクワリ</t>
    </rPh>
    <rPh sb="128" eb="129">
      <t>エン</t>
    </rPh>
    <phoneticPr fontId="1"/>
  </si>
  <si>
    <t>appropriateは
pro＝for（～のために）
pri＝private（自分の）
からできていると考えればよい。自分のために＝自分専用だから自分にとって「適切な, ふさわしい」というイメージ。
&lt;span class="spacer"&gt;&lt;/span&gt;ただしこの「自分にとって」というのはあくまで語源の話であり、現代英語appropriate自体には「自分にとって」という意味は残っていない。</t>
    <rPh sb="40" eb="42">
      <t>ジブン</t>
    </rPh>
    <rPh sb="53" eb="54">
      <t>カンガ</t>
    </rPh>
    <rPh sb="60" eb="62">
      <t>ジブン</t>
    </rPh>
    <rPh sb="67" eb="71">
      <t>ジブンセンヨウ</t>
    </rPh>
    <rPh sb="74" eb="76">
      <t>ジブン</t>
    </rPh>
    <rPh sb="81" eb="83">
      <t>テキセツ</t>
    </rPh>
    <rPh sb="135" eb="137">
      <t>ジブン</t>
    </rPh>
    <rPh sb="151" eb="153">
      <t>ゴゲン</t>
    </rPh>
    <rPh sb="154" eb="155">
      <t>ハナシ</t>
    </rPh>
    <rPh sb="159" eb="163">
      <t>ゲンダイエイゴ</t>
    </rPh>
    <rPh sb="174" eb="176">
      <t>ジタイ</t>
    </rPh>
    <rPh sb="179" eb="181">
      <t>ジブン</t>
    </rPh>
    <rPh sb="189" eb="191">
      <t>イミ</t>
    </rPh>
    <rPh sb="192" eb="193">
      <t>ノコ</t>
    </rPh>
    <phoneticPr fontId="1"/>
  </si>
  <si>
    <t>likelyは前置詞like（～のような）と関連させ、「現実のような＝ありそうな」と覚える。</t>
  </si>
  <si>
    <t>ssi</t>
  </si>
  <si>
    <t>possibleは「力があるから実際に可能」というイメージ。</t>
  </si>
  <si>
    <t>potis（力強い）+esse（存在する）
posse（力がある）
&lt;span class="spacer"&gt;&lt;/span&gt;形容詞を作る-bilisが付いて
possibilis（～できる）</t>
  </si>
  <si>
    <t>individualは「それ以上分けられない物や人」というイメージ。</t>
    <phoneticPr fontId="1"/>
  </si>
  <si>
    <t>publicのpubl部分はpeopleと同じ語源にさかのぼり、「人々に開かれている」というイメージ。</t>
    <phoneticPr fontId="1"/>
  </si>
  <si>
    <t>populus（民衆）
&lt;span class="spacer"&gt;&lt;/span&gt;形容詞を作る-icusが付いて
poplicus（民衆の）</t>
  </si>
  <si>
    <t>poplicusがpubes（成人）の影響を受けて
publicus（民衆の, 民衆全体の, 共同の）</t>
  </si>
  <si>
    <t>commonは「大勢が共有している, 特別ではない」というイメージ。</t>
  </si>
  <si>
    <t>certainは「ふるいにかけられて決定している」というイメージ。</t>
  </si>
  <si>
    <t>cernere（ふるいにかける）
&lt;span class="spacer"&gt;&lt;/span&gt;過去分詞certus（ふるいにかけられた, 決定された, 確定した, 確実な）</t>
  </si>
  <si>
    <t>simを見たらまず「同じ」と考える。sim部分は英語のsameと同じ語源にさかのぼる。</t>
    <rPh sb="21" eb="23">
      <t>ブブン</t>
    </rPh>
    <rPh sb="24" eb="26">
      <t>エイゴ</t>
    </rPh>
    <rPh sb="32" eb="33">
      <t>オナ</t>
    </rPh>
    <rPh sb="34" eb="36">
      <t>ゴゲン</t>
    </rPh>
    <phoneticPr fontId="1"/>
  </si>
  <si>
    <t>日本語で使われるメジャーと同じ。</t>
  </si>
  <si>
    <t>名詞ptient（患者：病気や治療に耐える人）と関連させて覚える。</t>
  </si>
  <si>
    <t>particularは「全体ではなく小さい部分の」というイメージ。</t>
    <phoneticPr fontId="1"/>
  </si>
  <si>
    <t>日本語ではフィジカルはメンタルの対義語として「体の, 肉体の」という意味で使われる。精神に対して肉体は物質なのでそこから「物質的な, 物理の」というイメージを持てばよい。</t>
  </si>
  <si>
    <t>日本語でも使われるバラエティ番組（色々な要素が盛り込まれた番組）と関連させる。</t>
  </si>
  <si>
    <t>availableは価値あるものが「手に入る, 使える」というイメージ。vail部分はvalue（価値）と同じ。</t>
    <rPh sb="40" eb="42">
      <t>ブブン</t>
    </rPh>
    <rPh sb="49" eb="51">
      <t>カチ</t>
    </rPh>
    <rPh sb="53" eb="54">
      <t>オナ</t>
    </rPh>
    <phoneticPr fontId="1"/>
  </si>
  <si>
    <t>valere（価値がある）</t>
  </si>
  <si>
    <t>a（～へ）+valoir（価値がある）</t>
  </si>
  <si>
    <t>印欧祖語*gene-（生む, 生み出す）系はまとめて覚える。
nativeのnaは「生まれる」と関係する要素。</t>
  </si>
  <si>
    <t>nasci（生まれる）
&lt;span class="spacer"&gt;&lt;/span&gt;過去分詞
natus（生まれた）
&lt;span class="spacer"&gt;&lt;/span&gt;形容詞を作る-ivusが付いて
nativus（生まれつきの）</t>
  </si>
  <si>
    <t>politicalのpoliは古代ギリシャの都市国家＝ポリスに由来する。都市国家やその市民の統治＝「政治の」となる。</t>
    <rPh sb="36" eb="40">
      <t>トシコッカ</t>
    </rPh>
    <rPh sb="43" eb="45">
      <t>シミン</t>
    </rPh>
    <rPh sb="46" eb="48">
      <t>トウチ</t>
    </rPh>
    <rPh sb="50" eb="52">
      <t>セイジ</t>
    </rPh>
    <phoneticPr fontId="1"/>
  </si>
  <si>
    <t>polis（都市国家）
&lt;span class="spacer"&gt;&lt;/span&gt;polites（市民）
&lt;span class="spacer"&gt;&lt;/span&gt;形容詞を作る-ikosが付いて
politikos（市民の, 国家の, 国家統治に関する）</t>
  </si>
  <si>
    <t>1550年代
politic（政治の）+形容詞を作る-al
political（政治の）
&lt;span class="obsolete"&gt;politic自体が形容詞だったが、politicalの方が使われるようになった&lt;/span&gt;</t>
  </si>
  <si>
    <t>dueは「当然そうなるだろう」というイメージ。</t>
  </si>
  <si>
    <t>ante（前に）系はまとめて覚える。</t>
  </si>
  <si>
    <t>15世紀初頭
はるか昔に存在した
&lt;span class="spacer"&gt;&lt;/span&gt;1600年頃
medieval（中世）とmodern（近代）に対してancient（古代の）</t>
  </si>
  <si>
    <t>despiteは「対象を見下していて、それがあってもなくてもどうでもよい」というイメージ。</t>
    <phoneticPr fontId="1"/>
  </si>
  <si>
    <t>ラテン語ferre（運ぶ）に由来する~fer系と~late系はまとめて覚える。
relateは「AとBを行き来して、その2つを結びつける」というイメージ。</t>
  </si>
  <si>
    <t>印欧祖語*gno-（知る）系はまとめて覚える。これらを見たらまず「知る系の意味だ」と考える。</t>
  </si>
  <si>
    <t>ラテン語ferre（運ぶ）に由来する~fer系と~late系はまとめて覚える。
referは「別のところに情報を取りに行って戻る, ある情報に話を向けてそのあとに元の話へ戻る」というイメージ。</t>
    <phoneticPr fontId="1"/>
  </si>
  <si>
    <t>re（再び, 後ろへ）+ferre（運ぶ）
referre（持ち帰る, 報告する, 参照する, 言及する）</t>
  </si>
  <si>
    <t>referer
&lt;span class="spacer"&gt;&lt;/span&gt;14世紀
言及する, 関連付ける</t>
  </si>
  <si>
    <t>referren
&lt;span class="spacer"&gt;&lt;/span&gt;14世紀後期
原因や起源にさかのぼる
～に帰属させる</t>
  </si>
  <si>
    <t>approachは「接近」というイメージ。</t>
  </si>
  <si>
    <t>prope（近くに）</t>
  </si>
  <si>
    <t>Alice in Wonderland（不思議の国のアリス）のWonderと同じ語。wonderは「不思議」というイメージ。</t>
  </si>
  <si>
    <t>image（イメージ）の動詞と覚えればよい。</t>
  </si>
  <si>
    <t>imitārī（模倣する）
&lt;span class="spacer"&gt;&lt;/span&gt;imāgō（像, 姿）
&lt;span class="spacer"&gt;&lt;/span&gt;imāginārī（心に像を描く, 想像する）</t>
  </si>
  <si>
    <t>印欧祖語*gno-（知る）系はまとめて覚える。特にcoが付いたcogniは「認知」に関わる意味。</t>
    <phoneticPr fontId="1"/>
  </si>
  <si>
    <t>com（強意）+gnōscere（知る）
cognōscere（共に知る, 認識する）
&lt;span class="spacer"&gt;&lt;/span&gt;re（再び）+cognōscere（認識する）
recognōscere（再び知る）</t>
  </si>
  <si>
    <t>solveは「からまったものをほどく」イメージ。</t>
  </si>
  <si>
    <t>occurのcur部分は、carryやcarと同じ語源にさかのぼり、「走る」という意味。</t>
  </si>
  <si>
    <t>argueは「銀（元素記号Ag）」と関係する。
&lt;span class="spacer"&gt;&lt;/span&gt;argueの元になったラテン語arguereと、白く輝く銀を表すラテン語argentum（Ag）はどちらも印欧祖語*arg-（光る, 白い）にさかのぼる。</t>
  </si>
  <si>
    <t>*arg-（光る, 白い）</t>
  </si>
  <si>
    <t>日本語のクレーム（不満）は、英語ではcomplain（不満を言う）なので注意。</t>
    <phoneticPr fontId="1"/>
  </si>
  <si>
    <t>expressは「押し出す」というイメージ。</t>
  </si>
  <si>
    <t>日本語でも使われるドロー（draw, 引き分け）と関連させて覚える。</t>
  </si>
  <si>
    <t>wasteは「荒れた土地のように無駄使いする」というイメージ。</t>
  </si>
  <si>
    <t>vastus（空の, 荒れ果てた）
&lt;span class="spacer"&gt;&lt;/span&gt;vastare（荒廃させる, 無駄にする）</t>
  </si>
  <si>
    <t>spreは「まき散らす」というイメージ。spray（スプレーする）のspraと同じ。</t>
  </si>
  <si>
    <t>prepareのpreは「前もって」という意味。</t>
  </si>
  <si>
    <t>gainは「狩りや採集のように何かを得る」というイメージ。</t>
  </si>
  <si>
    <t>1520年代
利益として得る
&lt;span class="spacer"&gt;&lt;/span&gt;1540年代
努力や追求によって得る
&lt;span class="spacer"&gt;&lt;/span&gt;1861年までに
時計に関して、時計の時間が進む</t>
  </si>
  <si>
    <t>achieveは「頭（端の部分）＝終わりに到達する」というイメージ。</t>
  </si>
  <si>
    <t>印欧祖語*sta-（立つ, 固定する）系はまとめて覚える。</t>
  </si>
  <si>
    <t>stabilis（安定した, 固定された）
&lt;span class="spacer"&gt;&lt;/span&gt;動詞になって
stabilire（安定させる, 確立する）</t>
  </si>
  <si>
    <t>supplyは「不足を下から満たす」というイメージ。</t>
  </si>
  <si>
    <t>sub（下から）+plere（満たす）
supplere（満たす, 補充する）</t>
  </si>
  <si>
    <t>supposeは「下に置く＝話の土台（前提）とする」というイメージ。</t>
  </si>
  <si>
    <t>sub（下に）+ponere（置く）
supponere（下に置く, 下に置くことで仮定する）</t>
  </si>
  <si>
    <t xml:space="preserve">日本語のパフォーマンスと関連させて覚える。performのform部分は、furnish（備え付ける）やfurniture（家具）と同じ語源にさかのぼる。
</t>
  </si>
  <si>
    <t>determineのterm部分は、term（用語, 期間, 学期, 条件）と同じで「終わり, 境界」という意味。</t>
  </si>
  <si>
    <t>terminus（終わり, 境界, 限界）
&lt;span class="spacer"&gt;&lt;/span&gt;動詞になって
terminare（終わりや境界を示す, 限界を定める）
&lt;span class="spacer"&gt;&lt;/span&gt;de（離れて）+terminare（終わりや境界を示す）
determinare（終わりを定める）</t>
  </si>
  <si>
    <t>ラテン語trahere（引く） に由来するtract系はまとめて覚える。
treatは、ハロウィンのtrick or treat（イタズラorもてなす扱い）と関連させて覚える。</t>
  </si>
  <si>
    <t>trahere（引く, 引きずる）
&lt;span class="spacer"&gt;&lt;/span&gt;反復形tractare（繰り返し引く, 引きずり回す, 取り扱う）</t>
  </si>
  <si>
    <t>proveは「試して、証明して、判明する」。</t>
  </si>
  <si>
    <t>probus（善良な, 立派な, 正直な）
&lt;span class="spacer"&gt;&lt;/span&gt;動詞になって
probare（信頼できるものと示す, 試す）</t>
  </si>
  <si>
    <t>applyは「to / forで示す対象にぴったり折り重ねる」イメージ。</t>
  </si>
  <si>
    <t>日本語でも使われるLINEのメンション（特定の人に発言を送る＝言う）と関連させて覚える。</t>
  </si>
  <si>
    <t>mens（心, 知性）に関連する動詞
minisci（思い出す, 考える）
&lt;span class="spacer"&gt;&lt;/span&gt;mentio（思い起こすこと, 言及すること）</t>
  </si>
  <si>
    <t>日本語の「コミュニケーションする」と覚えればよい。</t>
  </si>
  <si>
    <t>com（共に）+munis（義務）
communis（義務を共有する, 共通の）
&lt;span class="spacer"&gt;&lt;/span&gt;動詞になって
communicare（共通のものにする, 共有する, 伝える）
&lt;span class="spacer"&gt;&lt;/span&gt;過去分詞communicatus（共有された, 伝達された）</t>
  </si>
  <si>
    <t>ラテン語tenere（保つ）系はまとめて覚える。
&lt;span class="spacer"&gt;&lt;/span&gt;何かを入れるコンテナ（container）からer（〜するもの）を消せばcontain（内側に入れる）となる。
&lt;div class="sample_image container"&gt;&lt;/div&gt;</t>
    <phoneticPr fontId="1"/>
  </si>
  <si>
    <t>ラテン語rangers（触れる）系はまとめて覚える。
日本語でも使われるコンタクト（接触）と同じ。</t>
  </si>
  <si>
    <t>regardは「対象を注意して見る」というイメージ。</t>
  </si>
  <si>
    <t>*gardan / wardōn 系
守る, 見張る, 注意する</t>
  </si>
  <si>
    <t>spect（見る）系はまとめて覚える。</t>
  </si>
  <si>
    <t>circus（円）
&lt;span class="spacer"&gt;&lt;/span&gt;動詞になって
circare（ぐるぐる歩き回る）</t>
  </si>
  <si>
    <t>日本語でも使われるコネは、connectの名詞connection（コネクション, 繋がり）のこと。</t>
  </si>
  <si>
    <t>declineは「下に傾く, 何かを横にそらす」というイメージ。
&lt;span class="spacer"&gt;&lt;/span&gt;日本語でも座席の背もたれを傾けることをリクライニング（reclining, recline）というが、このクラインはdeclineのcline（傾く）と同じ。</t>
  </si>
  <si>
    <t>de（離れて, 下へ）+clinare（傾ける, 曲げる）
declinare（曲げる, 低くする）</t>
  </si>
  <si>
    <t>preventは「先回りして防ぐ」というイメージ。</t>
  </si>
  <si>
    <t>ラテン語ferre（運ぶ）に由来する~fer系と~late系はまとめて覚える。
sufferは「下に来るものを受けるように苦しむ」というイメージ。</t>
    <rPh sb="48" eb="49">
      <t>シタ</t>
    </rPh>
    <rPh sb="50" eb="51">
      <t>ク</t>
    </rPh>
    <rPh sb="55" eb="56">
      <t>ウ</t>
    </rPh>
    <rPh sb="61" eb="62">
      <t>クル</t>
    </rPh>
    <phoneticPr fontId="1"/>
  </si>
  <si>
    <t>sur部分はsuper（越えて）で、vive部分は「命に関係する」要素。
名詞suvivalは、日本語でも使われるサバイバル（生き残り, 生存。</t>
    <rPh sb="3" eb="5">
      <t>ブブン</t>
    </rPh>
    <rPh sb="12" eb="13">
      <t>コ</t>
    </rPh>
    <rPh sb="22" eb="24">
      <t>ブブン</t>
    </rPh>
    <rPh sb="26" eb="27">
      <t>イノチ</t>
    </rPh>
    <rPh sb="28" eb="30">
      <t>カンケイ</t>
    </rPh>
    <rPh sb="33" eb="35">
      <t>ヨウソ</t>
    </rPh>
    <rPh sb="37" eb="39">
      <t>メイシ</t>
    </rPh>
    <rPh sb="69" eb="71">
      <t>セイゾン</t>
    </rPh>
    <phoneticPr fontId="1"/>
  </si>
  <si>
    <t>publishのpubl部分はpeopleと同じ語源にさかのぼり、「人々に広める」というイメージ。</t>
    <rPh sb="37" eb="38">
      <t>ヒロ</t>
    </rPh>
    <phoneticPr fontId="1"/>
  </si>
  <si>
    <t>opportunity</t>
  </si>
  <si>
    <t>portuni</t>
  </si>
  <si>
    <t>opportunityは「港に風が吹いていきて港に入るチャンス」というイメージ。</t>
  </si>
  <si>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class="spacer"&gt;&lt;/span&gt;名詞を作る-tasが付いて
opportunitas（好都合, 好機）</t>
  </si>
  <si>
    <t>taskはtax（課税）と関連させて覚える。</t>
  </si>
  <si>
    <t>taxa（評価額, 課税額）</t>
  </si>
  <si>
    <t>industryは「コツコツ中に積み上げる勤勉さ、その勤勉さが支える産業」というイメージ。</t>
  </si>
  <si>
    <t>日本語でも使われるメディアの単数形がmedium。
mid / med（中間）系はまとめて覚える。</t>
  </si>
  <si>
    <t>economyは「家計のやりくりから、国家レベルの経済になる」というイメージ。</t>
  </si>
  <si>
    <t>polis（都市国家）に由来する語はまとめて覚える。</t>
  </si>
  <si>
    <t>policie（行政, 政治組織）</t>
  </si>
  <si>
    <t xml:space="preserve">
policie
&lt;span class="spacer"&gt;&lt;/span&gt;14世紀後期
統治の研究, 統治の実践
良い統治
&lt;span class="spacer"&gt;&lt;/span&gt;15世紀初頭
国家の統治制度
行動の方針
行動において守るべき原則
&lt;span class="spacer"&gt;&lt;/span&gt;国内や外交において、国家の利益のために、政府や政党が最善と考えて採用する政策</t>
  </si>
  <si>
    <t>accountは「お金の計算、お金の計算を記した口座、やり取りの説明」というイメージ。</t>
  </si>
  <si>
    <t>1640年代
on account of（〜のために, 〜を理由として）
&lt;span class="spacer"&gt;&lt;/span&gt;1680年代
take into account（考慮に入れる）
&lt;span class="spacer"&gt;&lt;/span&gt;1833年
銀行口座</t>
  </si>
  <si>
    <t>日本語でも使われるトレード（取引, 交換）と同じ。</t>
  </si>
  <si>
    <t>中低地ドイツ語・中オランダ語</t>
  </si>
  <si>
    <t>14世紀後期
道, 進路
&lt;span class="spacer"&gt;&lt;/span&gt;15世紀半ば
習慣的な行動, 生き方, 生活様式</t>
  </si>
  <si>
    <t>日本語のプラモデルやファッションモデルと同じ。
modelは「縮尺を合わせて作られた型, 模範」というイメージ。</t>
  </si>
  <si>
    <t>modus（方法, 尺度）
&lt;span class="spacer"&gt;&lt;/span&gt;小さいことを表す-ulusが付いて
modulus（小さな尺度, 基準）</t>
  </si>
  <si>
    <t>figureは「線で表せる形や姿」というイメージ。</t>
  </si>
  <si>
    <t>cellは「小さい部屋」というイメージ。</t>
  </si>
  <si>
    <t>日本語のイメージと同じ。</t>
  </si>
  <si>
    <t>imitari（写す, 模倣する）
&lt;span class="spacer"&gt;&lt;/span&gt;imago（写し, 像, 観念）</t>
  </si>
  <si>
    <t>emotionは「心の動き」というイメージ。</t>
  </si>
  <si>
    <t>ラテン語stringere系はまとめて覚える。
&lt;span class="spacer"&gt;&lt;/span&gt;日本語のストレスは精神的な面で使われがちだが、stressは「糸やゴムを引っ張って圧をかける」イメージ。</t>
  </si>
  <si>
    <t>decadeのdec部分は、Decemberやデシリットルのdecと同じで「10」を意味する。</t>
  </si>
  <si>
    <t>déca（10）+ade（～の集まり）
décade（10をひとつの単位とした集まり）</t>
  </si>
  <si>
    <t>rangeは「人の列が広がる範囲」というイメージ。</t>
  </si>
  <si>
    <t>renge（列, 隊列）</t>
  </si>
  <si>
    <t>characterは「何かを刻み込んで特徴づける」というイメージ。</t>
  </si>
  <si>
    <t>kharax（尖った杭）
&lt;span class="spacer"&gt;&lt;/span&gt;kharassein（刻む）
&lt;span class="spacer"&gt;&lt;/span&gt;kharaktēr（刻印する道具, 刻まれた印）</t>
  </si>
  <si>
    <t>ante（前に）系はまとめて覚える。
advantageは「他よりも前にいる状態」というイメージ。</t>
  </si>
  <si>
    <t>avant（前に）
&lt;span class="spacer"&gt;&lt;/span&gt;avantage（有利, 利益）</t>
  </si>
  <si>
    <t>日本語のフレーズと同じ。</t>
  </si>
  <si>
    <t>日本語のダメージと同じ。</t>
  </si>
  <si>
    <t>impactは「衝突→伝わる衝撃→その影響」という一連のイメージ。</t>
  </si>
  <si>
    <t>methodは「複数の方法（way）を規則化してまとめたもの」というイメージ。</t>
  </si>
  <si>
    <t>日本語でも使われるりソースを割く（人的資源, 物的資源, 資金）という形で使われる。</t>
  </si>
  <si>
    <t>regere（まっすぐ導く）
&lt;span class="spacer"&gt;&lt;/span&gt;sub（下から）+regere（まっすぐ導く）
surgere（立ち上がる）
&lt;span class="spacer"&gt;&lt;/span&gt;re（再び）+surgere（立ち上がる）
resurgere（再び立ち上がる）</t>
  </si>
  <si>
    <t>regionは「地図に線を引いて分けられた部分」イメージ。</t>
  </si>
  <si>
    <t>regere（まっすぐ導く, 支配する）
&lt;span class="spacer"&gt;&lt;/span&gt;名詞を作る-ioが付いて
regio（地区, 領域, 境界線）</t>
  </si>
  <si>
    <t>medicineは「薬」と覚えるが、もとは患者に対する処置に関わる語。</t>
  </si>
  <si>
    <t>*med-（適切に測る, 適切に処置する）</t>
  </si>
  <si>
    <t>detailのtail部分は「切る」というイメージ。
日本語でもディテール（細部）という言葉は使われる。</t>
  </si>
  <si>
    <t>日本語で使われる「〜をフィーチャーする」は動詞feature（際立たせる）に由来する。</t>
  </si>
  <si>
    <t>facere（作る, 行う）
&lt;span class="spacer"&gt;&lt;/span&gt;名詞を作る-uraが付いて
factura（形成, 作業）</t>
  </si>
  <si>
    <t>feture
&lt;span class="spacer"&gt;&lt;/span&gt;14世紀後期
顔の線や特徴
&lt;span class="obsolete"&gt;外形, 身体の形（現在は廃用）&lt;/span&gt;</t>
  </si>
  <si>
    <t>functionは「何かを実行する機能」というイメージ。</t>
  </si>
  <si>
    <t>fungi（実行する）
&lt;span class="spacer"&gt;&lt;/span&gt;名詞を作る-ioが付いて
functio（実行, 遂行）</t>
  </si>
  <si>
    <t>日本語のアクセスと同じだが、物にアクセスなら「利用・入手」で、場所にアクセスなら「接近」となる。</t>
  </si>
  <si>
    <t>ad（～へ）+cedere（行く）
accedere（近づく, 接近する）
&lt;span class="spacer"&gt;&lt;/span&gt;名詞を作る-usが付いて
accessus（接近, 入り口）</t>
  </si>
  <si>
    <t>14世紀初頭
発熱の発作
&lt;span class="spacer"&gt;&lt;/span&gt;14世紀後期
人や物の前に出ることができる力</t>
  </si>
  <si>
    <t>日本語のアイテムと同じ。文脈で「アイテム」の日本語訳を考えればよい。</t>
  </si>
  <si>
    <t>incomeは「入ってくるもの」というイメージ。</t>
  </si>
  <si>
    <t>ウェブサイトのサイトやWorld Heritage Site（世界遺産）のようにsiteは「場所を示す」というイメージ。</t>
  </si>
  <si>
    <t>sinere（動かさずに置いておく）
&lt;span class="spacer"&gt;&lt;/span&gt;過去分詞situs（置かれる場所, 位置）</t>
  </si>
  <si>
    <t>spect（見る）系はまとめて覚える。
aspectは「何かを見るときの観点と見えている側面」のこと。</t>
  </si>
  <si>
    <t>ad（～へ）+specere（見る）
aspicere（見る, 注視する）
&lt;span class="spacer"&gt;&lt;/span&gt;名詞を作る-tusが付いて
aspectus（見ること, 見え方, 外見）</t>
  </si>
  <si>
    <t>structureは「積み上げられたもの」というイメージ。</t>
  </si>
  <si>
    <t>struere（積み上げる, 築く）
&lt;span class="spacer"&gt;&lt;/span&gt;過去分詞structus
&lt;span class="spacer"&gt;&lt;/span&gt;名詞を作る-uraが付いて
structura（積み上げられたもの, 建築）</t>
  </si>
  <si>
    <t>habitは「ずっと持っている癖や習慣」という意味。</t>
  </si>
  <si>
    <t>habere（持つ）
&lt;span class="spacer"&gt;&lt;/span&gt;過去分詞habitus（状態, 性質, 外見, 服装）</t>
  </si>
  <si>
    <t>linkは「鎖でつなぐ」というイメージ。</t>
  </si>
  <si>
    <t>for example / for instance（たとえば）をもとに「例」という意味を覚える。</t>
  </si>
  <si>
    <t>現在分詞instans（近くに立つこと, 切迫している状態）
&lt;span class="spacer"&gt;&lt;/span&gt;名詞を作る-iaが付いて
instantia
存在, 緊急性
論理学における事例, 例（これはギリシャ語enstasisの翻訳でinstantiaを使用したことに由来する）</t>
  </si>
  <si>
    <t>日本語のポジティブと同じ。</t>
  </si>
  <si>
    <t>ponere（置く）
&lt;span class="spacer"&gt;&lt;/span&gt;過去分詞positus（置かれた）
&lt;span class="spacer"&gt;&lt;/span&gt;形容詞を作る-ivusが付いて
positivus（人為的に置かれた, 権力によって定められた）</t>
  </si>
  <si>
    <t>日本語のネガティブと同じ。</t>
  </si>
  <si>
    <t>negare（否定する）
&lt;span class="spacer"&gt;&lt;/span&gt;過去分詞negatus（否定された）
&lt;span class="spacer"&gt;&lt;/span&gt;形容詞を作る-ivusが付いて
negativus（否定的な）</t>
  </si>
  <si>
    <t>complexは「複数のものが編みこまれている」というイメージ。</t>
  </si>
  <si>
    <t>com（共に）+plectere（編む）
complecti（取り囲む, 包み込む）
&lt;span class="spacer"&gt;&lt;/span&gt;過去分詞complexus（取り囲んだ, 包含した）</t>
    <phoneticPr fontId="1"/>
  </si>
  <si>
    <t>currentは「いま走っている、流れている」というイメージ。</t>
  </si>
  <si>
    <t>日本語のメンタルと同じ。</t>
  </si>
  <si>
    <t>mensに形容詞を作る-alisが付いて
mentalis（心の, 精神の）</t>
  </si>
  <si>
    <t>specificのspeci部分はspeciesと同じ。種類を構成するには「特定の」性質がある。</t>
  </si>
  <si>
    <t>1630年代
特別な性質を持つ
&lt;span class="spacer"&gt;&lt;/span&gt;1740年までに
明確に特定された, 具体的な</t>
  </si>
  <si>
    <t>significantは「印をつけるくらい重要な」というイメージ。</t>
  </si>
  <si>
    <t>essentialは「何かの存在に関わる根本的な」というイメージ。</t>
  </si>
  <si>
    <t>名詞を作る-iaが付いてessentia（存在, 本質）
これはギリシャ語のousia（存在, 本質）を翻訳するために作られた名詞
&lt;span class="spacer"&gt;&lt;/span&gt;形容詞を作る-alisが付いて
essentialis（本質的な）</t>
  </si>
  <si>
    <t>日本語でも使うオフィシャルサイト（公式サイト）やオフィシャルグッズ（公式グッズ）と同じと考えればよい。</t>
  </si>
  <si>
    <t>ops（力, 資源）+facere（作る, 行う）
officium（力や資源を使って行うこと, 奉仕, 義務, 職務）</t>
  </si>
  <si>
    <t>financialのfin部分は「支払いで終わらせる」という金銭面に関わる意味だった。</t>
  </si>
  <si>
    <t>finis（終わり）</t>
  </si>
  <si>
    <t>finis（支払いによる和解, 罰金, 税金）</t>
  </si>
  <si>
    <t>fin（終わり）
&lt;span class="spacer"&gt;&lt;/span&gt;動詞になって
finer（終わる）
&lt;span class="spacer"&gt;&lt;/span&gt;名詞になって
finance（結末, 支払い, 決算）</t>
  </si>
  <si>
    <t>1400年頃
終わり, 決済
&lt;span class="spacer"&gt;&lt;/span&gt;15世紀半ば
身代金の支払い
&lt;span class="spacer"&gt;&lt;/span&gt;15世紀後期
税金の徴収
&lt;span class="spacer"&gt;&lt;/span&gt;1770年
金銭管理, 財政</t>
  </si>
  <si>
    <t>日本でも専門学校や予備校などの名前に「アカデミー」が使われることがある。</t>
  </si>
  <si>
    <t>be aware of ~（〜に気づいている, 〜を知っている）として覚える。</t>
  </si>
  <si>
    <t>gewær（用心深い, 警戒している）</t>
  </si>
  <si>
    <t>worth doing（〜する価値がある）として覚える。</t>
  </si>
  <si>
    <t>日本語でも使われるポテンシャル（潜在能力がある）と同じ。
potentialのpo部分は、possibleのpo部分と同じ。どちらの語も「可能, 可能性」に関連する。</t>
  </si>
  <si>
    <t>potis（力のある）
&lt;span class="spacer"&gt;&lt;/span&gt;potens（力のある）
&lt;span class="spacer"&gt;&lt;/span&gt;名詞を作る-iaが付いて
potentia（力）</t>
  </si>
  <si>
    <t>act（行う）や日本語のアクティブと関連させて覚える。</t>
  </si>
  <si>
    <t>日本語のデジタルと同じ。</t>
  </si>
  <si>
    <t>mobileはmo(ve)＋(a)ble＝「動かせる」と考えればよい。</t>
  </si>
  <si>
    <t>movere（動かす）
&lt;span class="spacer"&gt;&lt;/span&gt;形容詞を作る-bilis（〜できる）が付いて
*movibilis（動かすことができる）
&lt;span class="spacer"&gt;&lt;/span&gt;短縮形mobilis（可動の, 変わりやすい）</t>
  </si>
  <si>
    <t>形容詞novelのnov部分はnewと同じだと考えればよい。
&lt;span class="spacer"&gt;&lt;/span&gt;また同じ語源にさかのぼる名詞novel（小説）と関連させて覚える。名詞novelはもともと「新しい物語」という意味だった。</t>
  </si>
  <si>
    <t>日本語のプラスチックと同じ。プラスチックは柔らかい。</t>
  </si>
  <si>
    <t>日本語の化学的を意味するケミカルと同じ。</t>
  </si>
  <si>
    <t>3世紀頃
khemeioa（錬金術）</t>
  </si>
  <si>
    <t>14世紀半ば
中世における化学（錬金術, 卑金属を銀や金に変成させるとされる学問）</t>
  </si>
  <si>
    <t>necessaryは「避けて通れないほど不可欠＝必要な」というイメージ。</t>
  </si>
  <si>
    <t>eventuallyは「色々あってその結果…」というイメージ。</t>
  </si>
  <si>
    <t>identifyは「イコールにする」というイメージ。
日本語でも使うID（ログインIDなど）はidentifyの名詞identification（同一である証明）から来ている。</t>
  </si>
  <si>
    <t>id（それ）
&lt;span class="spacer"&gt;&lt;/span&gt;idem（前述のそれ, 前に出てきたものと同じ）</t>
  </si>
  <si>
    <t>idemに名詞を作る-itasが付いて
identitas（同一であること, 同一性）</t>
  </si>
  <si>
    <t>representは「目の前に存在する, 他よりも前に存在する」というイメージ。
presenceの「出席, 現在」と関連させて覚える。</t>
  </si>
  <si>
    <t>indicateは「指をさして示す」というイメージ。</t>
  </si>
  <si>
    <t>日本語でも使われるマネージャー（manager, 管理する人）と関連させて覚える。</t>
  </si>
  <si>
    <t>manus（手）</t>
  </si>
  <si>
    <t>tend（伸ばす）系はまとめて覚える。
attendは「心や労力を対象へ伸ばす、何かへ足を伸ばす」というイメージ。</t>
  </si>
  <si>
    <t>14世紀半ば
世話をする
&lt;span class="spacer"&gt;&lt;/span&gt;15世紀初頭
注意を払う
&lt;span class="spacer"&gt;&lt;/span&gt;15世紀半ば
誰かに付き添って奉仕する
出席する</t>
  </si>
  <si>
    <t>tain（保つ）系はまとめて覚える。
状態を保つためのメンテナンスはmaintainの名詞。</t>
  </si>
  <si>
    <t>surveyは「上から全体を見渡す」イメージ。</t>
  </si>
  <si>
    <t>このplaceは「その場所に置く」というイメージ。</t>
  </si>
  <si>
    <t>スマホの写真を並び替える、データを日付順やアルファベット順に並べることを「ソート」と言う。</t>
  </si>
  <si>
    <t>sorten
&lt;span class="spacer"&gt;&lt;/span&gt;14世紀半ば
種類や性質に従って配列する
&lt;span class="spacer"&gt;&lt;/span&gt;1400年頃
分類する</t>
  </si>
  <si>
    <t>conductの「ある物事が行われるように導く」というイメージ。
&lt;span class="spacer"&gt;&lt;/span&gt;or（〜する人, 〜するもの）が付いたconductorは、音楽の指揮者やツアーコンダクター（旅を目的地まで導く添乗員）を意味する。</t>
  </si>
  <si>
    <t>associateは「何かと何かを結びつける」というイメージ。
soci部分はsociety（社会）と同じ。社会は人と人が結びついてできることから「結びつける」というイメージを持っておく。</t>
  </si>
  <si>
    <t>promoteは「前へ動かす」というイメージ。</t>
  </si>
  <si>
    <t>earnian（労働する, 稼ぐ, 得る）</t>
  </si>
  <si>
    <t>universe / university / United Statesなどのuni系と関連させて覚える。</t>
  </si>
  <si>
    <t>uniten
&lt;span class="spacer"&gt;&lt;/span&gt;15世紀初頭
結合させる</t>
  </si>
  <si>
    <t>1610年までに
一つになる</t>
  </si>
  <si>
    <t>feedは、foodと関連させて覚える。</t>
  </si>
  <si>
    <t>英語でかくれんぼをhide and seek（隠れる＆追い求める, ハイド&amp;シーク）と言う。</t>
  </si>
  <si>
    <t>observeは「注意深く見る」というイメージ。</t>
  </si>
  <si>
    <t>ob（～に対して）+servare（守る）
observare（見守る, 注意深く見る）</t>
    <rPh sb="5" eb="6">
      <t>タイ</t>
    </rPh>
    <rPh sb="18" eb="19">
      <t>マモ</t>
    </rPh>
    <rPh sb="32" eb="34">
      <t>ミマモ</t>
    </rPh>
    <rPh sb="37" eb="40">
      <t>チュウイブカ</t>
    </rPh>
    <rPh sb="41" eb="42">
      <t>ミ</t>
    </rPh>
    <phoneticPr fontId="1"/>
  </si>
  <si>
    <t>revealは「ヴェールをとって隠れているものを表に出す」イメージ。</t>
  </si>
  <si>
    <t>velum（ヴェール）
&lt;span class="spacer"&gt;&lt;/span&gt;動詞になって
velare（ヴェールをかける, 覆う）
&lt;span class="spacer"&gt;&lt;/span&gt;re（反対）+velare（ヴェールをかける, 覆う）
revelare（覆いを取る, 明らかにする）</t>
    <rPh sb="40" eb="42">
      <t>ドウシ</t>
    </rPh>
    <rPh sb="99" eb="101">
      <t>ハンタイ</t>
    </rPh>
    <rPh sb="120" eb="121">
      <t>オオ</t>
    </rPh>
    <rPh sb="133" eb="134">
      <t>オオ</t>
    </rPh>
    <rPh sb="136" eb="137">
      <t>ト</t>
    </rPh>
    <rPh sb="140" eb="141">
      <t>アキ</t>
    </rPh>
    <phoneticPr fontId="1"/>
  </si>
  <si>
    <t>esteemと一緒に覚える。</t>
  </si>
  <si>
    <t>reflectは「鏡で映す」というイメージ。</t>
  </si>
  <si>
    <t>日本語でも使われるアトラクション（客を引きつけるもの）と関連させて覚える。</t>
  </si>
  <si>
    <t>increase（増える, 増やす）とセットで覚える。</t>
  </si>
  <si>
    <t>印欧祖語*gno-（知る）系はまとめて覚える。</t>
  </si>
  <si>
    <t>日本語のマッチする（合う）と同じ。</t>
  </si>
  <si>
    <t>defineのfineは、finishと同じで「境界, 終わり」を意味し、「境界を定めてきっちり線引きする」というイメージ。</t>
  </si>
  <si>
    <t>be apt to do（〜する傾向がある, 〜しがちである）のaptとセットで覚える。</t>
  </si>
  <si>
    <t>contributeのtribute部分は「与える」と覚えておく。</t>
  </si>
  <si>
    <t>exchangeは「相互にものを与え合う交換」というイメージ。</t>
  </si>
  <si>
    <t>1600年頃から
お互いに与え合う</t>
  </si>
  <si>
    <t>画面＝ディスプレイから「示す」という意味を覚える。</t>
  </si>
  <si>
    <t>be responsible for（〜に責任がある）
responsibility（責任）
これらは相手に対して答える義務があることから「責任がある」という意味になる。</t>
  </si>
  <si>
    <t>hydan（隠す）</t>
  </si>
  <si>
    <t>doubtのdoub部分は、double（ダブル）と同じと考えればよい。「2つの間で揺れて疑う」というイメージ。</t>
  </si>
  <si>
    <t>removeは「視界の外へ動かす」というイメージ。</t>
  </si>
  <si>
    <t>re（後ろへ）+movere（動かす）
removere（後ろへ動かす, 視界から外す, 取り除く）</t>
  </si>
  <si>
    <t>日本語で早く終わらせることを「巻きで終わらせる」と言うが、英語のwind upも「終わらせる, 結局〜になる」という意味がある。
&lt;span class="spacer"&gt;&lt;/span&gt;名詞wind（風）とは発音が異なるので注意。</t>
  </si>
  <si>
    <t>日本語のリラックスと同じ。</t>
  </si>
  <si>
    <t>satisfyのsatisは「十分足りている」というイメージ。</t>
  </si>
  <si>
    <t>desireは「星に強い願いを込める」というイメージ。</t>
  </si>
  <si>
    <t>succeedは「後に続いて行く」というイメージで、それが「継承」と「成功という結果」になった。</t>
  </si>
  <si>
    <t>sub（後に, 下に）+sedere（行く, 進む）
succedere（後に続く）</t>
  </si>
  <si>
    <t>assumeのsure部分は「手に取る」というイメージ。</t>
  </si>
  <si>
    <t>ceive（つかむ）系はまとめて覚える。
またconceive（考える）の名詞として覚える。</t>
  </si>
  <si>
    <t>fash</t>
  </si>
  <si>
    <t>日本語のファッションは主に服装という意味で使われるが、fashionは「流行」という意味まで広がる。</t>
  </si>
  <si>
    <t>facere（する, 作る）
&lt;span class="spacer"&gt;&lt;/span&gt;名詞を作る-ioが付いて
factio（作ること, 行うこと, 共通の行動をとる人々の集団）</t>
  </si>
  <si>
    <t>日本語のデバイス（特定の目的に合った装置）と同じ。</t>
  </si>
  <si>
    <t>chargeは、carやcarryと関連する語で、「荷車に荷物を乗せること」から様々な意味に発展した。</t>
  </si>
  <si>
    <t>日本語のコントラストと同じで対比を表す。</t>
  </si>
  <si>
    <t>colleagueは、college（カレッジ）と同じ語源。カレッジは職務を共にする教授（＝同僚）や学生の集まりという意味から発展している。</t>
  </si>
  <si>
    <t>com（共に）+legare（任命して派遣する）
&lt;span class="spacer"&gt;&lt;/span&gt;collega
働くために共に送られた者
共同の職務にある者</t>
  </si>
  <si>
    <t>billは「文書」というイメージ。文脈で何が書いてある紙なのかを考えればよい。</t>
  </si>
  <si>
    <t>日本語のコンテンツと同じ。contain（含む）/ container（コンテナ）と関連させて覚える。コンテンツは「中に含まれるもの」。</t>
  </si>
  <si>
    <t>日本語でも使われるセクションと同じ。英語のテキストやテストのセクション1・セクション2のように、全体を分けた「部分」のこと。</t>
  </si>
  <si>
    <t>secare（切る）
&lt;span class="spacer"&gt;&lt;/span&gt;過去分詞に名詞を作る-ioが付いて
sectio（切断, 切り離し, 分割）</t>
  </si>
  <si>
    <t>日本語のオーディエンスと同じ。audio（オーディオ）と同じく「聴く」ことと関連する。</t>
  </si>
  <si>
    <t>surは「上の（super）」で、faceは「顔や面」。</t>
  </si>
  <si>
    <t>日本語のトピックと同じ。トピックで覚えればよい。</t>
  </si>
  <si>
    <t>日本語のテクニックと同じ。</t>
  </si>
  <si>
    <t>日本語のステータス（地位, 状態）と同じ。
sta（立つ）系はまとめて覚える。</t>
  </si>
  <si>
    <t>stare（立つ）
&lt;span class="spacer"&gt;&lt;/span&gt;名詞になって
status（立つ位置, 立場, 状態）</t>
  </si>
  <si>
    <t>日本語のオプション（選択肢）と同じ。</t>
  </si>
  <si>
    <t>optare（選ぶ, 望む）
&lt;span class="spacer"&gt;&lt;/span&gt;名詞を作る-ioが付いて
optio（選択）</t>
  </si>
  <si>
    <t>rewardは「相手の行動をよく見てそれに応じて与えるもの」というイメージ。</t>
  </si>
  <si>
    <t>crimeは「善悪のふるいにかけたときの悪＝犯罪」と覚える。</t>
  </si>
  <si>
    <t>conflictは「共に叩き合う」イメージ。</t>
  </si>
  <si>
    <t>コンテクストは日本語でも使われるため、そのまま文脈や状況として覚えておく。</t>
  </si>
  <si>
    <t>日本語のディベートと同じ。
debateは「言葉で戦う」というイメージ。</t>
  </si>
  <si>
    <t>focusとセットで覚える。</t>
  </si>
  <si>
    <t>focus（暖炉）
&lt;span class="spacer"&gt;&lt;/span&gt;形容詞を作る-alisが付いて
focalis（炉に関する）
&lt;span class="spacer"&gt;&lt;/span&gt;名詞になって
focalia（燃料用の小枝）</t>
  </si>
  <si>
    <t>feel / feul
&lt;span class="spacer"&gt;&lt;/span&gt;1200年頃
燃料</t>
  </si>
  <si>
    <t>pollut</t>
  </si>
  <si>
    <t>pollutionは「何かを塗った結果汚す」イメージ。</t>
  </si>
  <si>
    <t>pollucioun
&lt;span class="spacer"&gt;&lt;/span&gt;14世紀後期
汚染</t>
  </si>
  <si>
    <t>日本語のトレンド（傾向）と同じ。</t>
  </si>
  <si>
    <t>日本語のバランスと同じ。</t>
  </si>
  <si>
    <t>trafficはイタリア語の「商売する」という動詞から派生したので「不正取引」という意味がある。</t>
  </si>
  <si>
    <t>strategyはもともとは「将軍が考える軍事戦略」だった。</t>
  </si>
  <si>
    <t>strat</t>
  </si>
  <si>
    <t>egy</t>
  </si>
  <si>
    <t>basisとbaseはセットで覚える。</t>
  </si>
  <si>
    <t>sequence（連続）と関連させて覚える。con（共に）が付いているので、何かにくっついて連続するイメージ。</t>
  </si>
  <si>
    <t>consequiに名詞を作る-iaが付いて
consequentia（結果, 帰結）</t>
  </si>
  <si>
    <t>aimは「対象までの道筋や距離を計算して狙うこと」というイメージ。</t>
  </si>
  <si>
    <t>1300年頃
&lt;span class="obsolete"&gt;計算する（現在は廃用）&lt;/span&gt;
&lt;span class="spacer"&gt;&lt;/span&gt;14世紀初頭
意図する
&lt;span class="spacer"&gt;&lt;/span&gt;14世紀後期
行動を考慮して計画する
攻撃の目標や狙いを定める
&lt;span class="spacer"&gt;&lt;/span&gt;15世紀初頭
狙うこと, 目的, 目標</t>
  </si>
  <si>
    <t>印欧祖語*gene-（生む, 産む）系はまとめて覚える。</t>
  </si>
  <si>
    <t>genea（世代, 人種, 血統）</t>
  </si>
  <si>
    <t>運動場のトラック（線を引かれた一周のコース）と同じ。</t>
  </si>
  <si>
    <t>trak
&lt;span class="spacer"&gt;&lt;/span&gt;15世紀後期
馬（特に馬蹄）の跡
足跡
何かが残した跡</t>
  </si>
  <si>
    <t>volut</t>
  </si>
  <si>
    <t>revolutionのvol部分は「回転, ひっくり返す」というイメージ。</t>
  </si>
  <si>
    <t>名詞を作る-ioが付いて
revolutio（回転すること）</t>
  </si>
  <si>
    <t>progressは「前に歩を進めること」というイメージ。</t>
  </si>
  <si>
    <t>印欧祖語*gno-（知る）系はまとめて覚える。
cogniとあれば「認知」に関わる意味。</t>
  </si>
  <si>
    <t>1900年以降
無駄なく結果を生み出す, 効率的な</t>
  </si>
  <si>
    <t>universalのuniは「ひとつ」という意味。</t>
  </si>
  <si>
    <t>vastは「言葉にできないスケール感を両手をひろげて広い！おっきい！」と表すイメージ。</t>
  </si>
  <si>
    <t>vastus（広大な）</t>
  </si>
  <si>
    <t>tra</t>
  </si>
  <si>
    <t>extraはex（外の）から「超え出ている」というイメージ。</t>
  </si>
  <si>
    <t>ex（外の）
&lt;span class="spacer"&gt;&lt;/span&gt;exterus（内ではなく外側の）
&lt;span class="spacer"&gt;&lt;/span&gt;extra（外側に）</t>
  </si>
  <si>
    <t>entireは「一切触れられていない完全な状態」というイメージ。</t>
  </si>
  <si>
    <t>familiarはfamily（お互いをよく知る家族）と関連させて覚える。</t>
  </si>
  <si>
    <t>via（道）系はまとめて覚える。</t>
  </si>
  <si>
    <t>mor</t>
  </si>
  <si>
    <t>日本語のモラルと同じ。個々人の善悪の価値観。</t>
  </si>
  <si>
    <t>14世紀半ば
正しい行動に関する
道徳的原則に関する
&lt;span class="spacer"&gt;&lt;/span&gt;14世紀後期
正しい行動のルールに関する
道徳的に善い</t>
  </si>
  <si>
    <t>1630年代
習慣的に道徳ルールに従う
&lt;span class="spacer"&gt;&lt;/span&gt;1680年代
道徳に基づいている</t>
  </si>
  <si>
    <t>ord部分はorder（順序, 秩序）と同じ。ordinaryは「順番通りで普通」というイメージ。</t>
  </si>
  <si>
    <t>ordo（列, 秩序）
&lt;span class="spacer"&gt;&lt;/span&gt;形容詞を作る-ariusが付いて
ordinarius（規則的な, 秩序だった, 通常の）</t>
  </si>
  <si>
    <t>日本語のイコールと同じ。</t>
  </si>
  <si>
    <t>vio</t>
  </si>
  <si>
    <t>正しいものにはTを、間違っているものにはFを書かせるテストがあるが、このFはfalseのこと。</t>
  </si>
  <si>
    <t>fallere（欺く, だます）
&lt;span class="spacer"&gt;&lt;/span&gt;過去分詞falsus（欺くような, 偽の）</t>
  </si>
  <si>
    <t>日本語のレアと同じ。</t>
  </si>
  <si>
    <t>ラテン語lex（法）系はまとめて覚える。</t>
  </si>
  <si>
    <t>dependと関連させて覚える。
pend部分は、首にぶら下げるペンダントと同じで「ぶら下がる」というイメージ。</t>
  </si>
  <si>
    <t>de（下へ）+pendere（吊るす）
dependere（ぶら下がる）</t>
  </si>
  <si>
    <t>deprendre（垂れ下がる, 依存する）
&lt;span class="spacer"&gt;&lt;/span&gt;現在分詞dependant（依存している）</t>
  </si>
  <si>
    <t>dependant
&lt;span class="spacer"&gt;&lt;/span&gt;14世紀後期
依存している</t>
  </si>
  <si>
    <t>もとになったラテン語はex（外の）の最上級。</t>
  </si>
  <si>
    <t>act（何かを行う）の形容詞として考えればよい。現実の行為の形容詞なので「実際の, 現実の」となる。</t>
  </si>
  <si>
    <t>be willing to do A（Aすることをいとわない）という表現で覚える。</t>
  </si>
  <si>
    <t>suburbとセットで覚える。urban / suburbのurb部分は、ラテン語で「都市」という意味。</t>
  </si>
  <si>
    <t>whereasは「対比」と覚えればよい。日本語訳の仕方は読むときに考える。文章問題でも穴埋め問題でも「対比」として覚えていれば対応できる。</t>
  </si>
  <si>
    <t>覚えるときのイメージ</t>
  </si>
  <si>
    <t>in（中に）+volvere（巻く, 回す, 転がす）
involvere（中に巻き込む, 包む）</t>
  </si>
  <si>
    <t>re（再び）+volvere（巻く, 回す, 転がす）
revolvere（回す, 転がして戻す）</t>
  </si>
  <si>
    <t>efficientは「何かを無駄なく効率的に作り出せて有能」というイメージ。</t>
  </si>
  <si>
    <t>dict（言う）系には、cotradict（矛盾する）やdictate（書きとらせる, 命じる）などがある。英語のリスニング練習で、話している内容を書き取るdictation（ディクテーション）はdictateの名詞。</t>
  </si>
  <si>
    <t>1300年頃
人を問いただす
資格や能力を調べる
&lt;span class="spacer"&gt;&lt;/span&gt;14世紀半ば
物事を注意深く調べる
あらゆる側面から観察して正確な判断をする
&lt;span class="spacer"&gt;&lt;/span&gt;15世紀初頭
証人を尋問する</t>
  </si>
  <si>
    <t>日本語のスティック（突き棒）と関連させて覚える。</t>
  </si>
  <si>
    <t>医療において、緊急時に医療スタッフを呼び出すエマージェンシーコールというものがある。emergencyは、emergeの名詞で「突然現れた緊急事態」を意味する。</t>
  </si>
  <si>
    <t>varyはvarious（様々な）や名詞variety（多様性）と関連させて覚える。</t>
  </si>
  <si>
    <t>日本語で使われる「歌手が曲をリリースする」のイメージから覚える。</t>
  </si>
  <si>
    <t>laxare（ゆるめる, 伸ばす）
&lt;span class="spacer"&gt;&lt;/span&gt;re（再び, 後ろに）+laxare（ゆるめる）
relaxare（ゆるめる, 伸ばす）</t>
  </si>
  <si>
    <t>individualと関連させて覚える。divideは「分けて離す」というイメージ。</t>
  </si>
  <si>
    <t>動詞化en系はまとめて覚える。</t>
  </si>
  <si>
    <t>日本語の「ジャッジする」や審判を意味する「ジャッジ」と同じ。</t>
  </si>
  <si>
    <t>relyは対象を信頼して「頼りにする」というイメージ。</t>
  </si>
  <si>
    <t>婚約指輪のことをエンゲージリングと呼ぶ。このエンゲージは結婚という約束の中に相手を置くというニュアンスが残っている。
engageは、be engaged in A（Aに従事する）で覚えておく。</t>
  </si>
  <si>
    <t>日本語のシフト（移る）と同じ。</t>
  </si>
  <si>
    <t>adoptのopt部分は、option（選択肢）と同じで「選ぶ」というイメージ。</t>
  </si>
  <si>
    <t>quire部分は、requireと同じで「求める」という意味。</t>
  </si>
  <si>
    <t>expandは、exがあるので「外に何かする＝外に広げる」と覚えておく。
expandは範囲やサイズの拡大。
extendは長さの延長。</t>
  </si>
  <si>
    <t>refuseは「自分の方に流れてくる水を流し返す＝拒む」というイメージ。</t>
  </si>
  <si>
    <t>re（後ろに, 逆に）+fundere（注ぐ）
refundere（後ろへ注ぐ, 逆に流す, 返す）</t>
  </si>
  <si>
    <t>stroke（脳卒中：語源は神の一撃）と関連させて覚える。</t>
  </si>
  <si>
    <t>strican
&lt;span class="obsolete"&gt;なでる, こする（現在は廃用）&lt;/span&gt;
（なでるという表面をこする動きから）移動する, 進む, 向かう
&lt;span class="spacer"&gt;&lt;/span&gt;進むという意味はstrike for 〜（〜に向かう）に残っている</t>
  </si>
  <si>
    <t>日本語のリピート（繰り返す）と同じ。</t>
  </si>
  <si>
    <t>日本語でも使われるコンシューマー（消費者, consumer）と関連させて覚える。
またsume（取る）系はまとめて覚える。</t>
  </si>
  <si>
    <t>sub（下から）+emere（取る）
sumere（取る）
&lt;span class="spacer"&gt;&lt;/span&gt;com（強意）+sumere（取る）
consumere
完全に取る
取り尽くす
使い尽くす
食べ尽くす</t>
  </si>
  <si>
    <t>日本語のセレクト（選ぶ）と同じ。</t>
  </si>
  <si>
    <t>evolveは「巻物を広げるように進化・発展していく」というイメージ。</t>
  </si>
  <si>
    <t>ex（外へ）+volvere（巻く, 回す, 転がす）
evolvere（外へ転がす, 巻物を広げる, 発展させる）</t>
  </si>
  <si>
    <t>convinceのvince部分は、victory（勝利）と同じ語源にさかのぼる。convinceは「言葉で相手を負かして納得させる」というイメージ。</t>
  </si>
  <si>
    <t>recallはre+callの通りの意味。</t>
  </si>
  <si>
    <t>destroyのdeは「否定」で、str部分はstructureのような「積み上げる」。ここから積み上げたものを「破壊する」というイメージ。</t>
  </si>
  <si>
    <t>このserveは「保つ」という意味。これはreserve（予約する） / conserve（保護する） / observe（観察する）などと同じ。</t>
  </si>
  <si>
    <t>名詞organ（臓器, 楽器のオルガン）と関連させて覚える。臓器もオルガンも複数のパーツが集まって全体として機能する。このようにorganizeは、各部分を整え、全体を機能させる感じ。</t>
  </si>
  <si>
    <t>1590年代
システムの配置や構成を整える
&lt;span class="spacer"&gt;&lt;/span&gt;1630年代
相互に依存し、互いに支え合う部分から成り立つ全体として作り上げ、機能する状態にする</t>
  </si>
  <si>
    <t>warnian（注意する, 用心する）</t>
  </si>
  <si>
    <t>addressは「まっすぐ届ける, まっすぐに（正常な状態に）する」というイメージ。</t>
  </si>
  <si>
    <t>dis（強意）+regere（まっすぐ導く）
dirigere（まっすぐにする）
&lt;span class="spacer"&gt;&lt;/span&gt;過去分詞directus（まっすぐな, 直接の, 正しい）</t>
  </si>
  <si>
    <t>14世紀初頭
導く, 狙いを定める
&lt;span class="spacer"&gt;&lt;/span&gt;14世紀半ば
整える, 訂正する, 修理する
&lt;span class="spacer"&gt;&lt;/span&gt;15世紀半ば
送付先を指定する, 宛先を書く
&lt;span class="spacer"&gt;&lt;/span&gt;15世紀後期
人に向けて話す</t>
  </si>
  <si>
    <t>手術のことをオペと言うが、これはoperateの名詞operation（オペレーション, 手術）のこと。</t>
  </si>
  <si>
    <t>opus（仕事, 成果）
&lt;span class="spacer"&gt;&lt;/span&gt;動詞になって
operari（働く, 努力する）</t>
  </si>
  <si>
    <t>part（部分）と、cipate部分（取る）が組み合わさった語。</t>
  </si>
  <si>
    <t>flowan（流れる）</t>
  </si>
  <si>
    <t>語源不明なので、穴を開けるドリルに由来するという説と関連させて覚える。</t>
  </si>
  <si>
    <t>complainは「苦しみや悲しみでバンバン胸を叩く」イメージ。</t>
  </si>
  <si>
    <t>留学のホストファミリーのホストと同じで、もてなす側・主催者側。</t>
  </si>
  <si>
    <t>combineの名詞combination（コンビネーション, 組み合わせ）と関連させて覚える。</t>
  </si>
  <si>
    <t>tend（伸ばす）系はまとめて覚える。
extendは長さの延長。
expandは範囲やサイズの拡大。</t>
  </si>
  <si>
    <t>appreciateのpreci部分は、price（価格, 価値）と同じ。価値を正しく評価し、価値あるものを鑑賞し、価値ある物事を享受できることに感謝する。</t>
  </si>
  <si>
    <t>日本語のターゲットと同じ。</t>
  </si>
  <si>
    <t>elementは「基本となる構成要素」というイメージ。elementary school（小学校, 初等教育）のelementary（初等の, 基本的な）と関連させて覚える。</t>
  </si>
  <si>
    <t>pri（第一の）系はまとめて覚える。
principleは「一番目の土台となるもの」というイメージ。</t>
  </si>
  <si>
    <t>primus（第一の）+capere（取る）
princeps（第一を取っている）
&lt;span class="spacer"&gt;&lt;/span&gt;名詞を作る-iumが付いて
principium（始まり, 起源, 最初の部分）</t>
  </si>
  <si>
    <t>phenomenonのpheは光。光のように何かが現れる＝「現象」というイメージ。</t>
  </si>
  <si>
    <t>atmosは「蒸気」でsphereは「球体」として覚える。</t>
  </si>
  <si>
    <t>atmos（蒸気, 煙）
sphaira（球体）</t>
  </si>
  <si>
    <t>形容詞オリジナルと関連させて覚える。</t>
  </si>
  <si>
    <t>person（個人）と関連させて覚える。</t>
  </si>
  <si>
    <t>&lt;span class="spacer"&gt;&lt;/span&gt;personalisに名詞を作る-tasが付いて
personalitas（人であるという性質）</t>
  </si>
  <si>
    <t>cap（取る）系はまとめて覚える。
日本語のキャパ・キャパオーバーと同じで、抱え込める容量や能力のこと。</t>
  </si>
  <si>
    <t>capere（取る）
&lt;span class="spacer"&gt;&lt;/span&gt;形容詞になって
capax（多くを収めることができる）
&lt;span class="spacer"&gt;&lt;/span&gt;名詞を作る-tasが付いて
capacitas（容量, 多くを収容できる能力）</t>
  </si>
  <si>
    <t>benefitはざっくりとした「いいこと」で、profitは「金銭や成果などのプラス」というイメージ。</t>
  </si>
  <si>
    <t>pro（前へ）+facere（行う, 作る）
proficere（成し遂げる, 役に立つ, 利益を得る）
&lt;span class="spacer"&gt;&lt;/span&gt;過去分詞profectus（進展, 成功, 成長）</t>
  </si>
  <si>
    <t>circum（周囲に）+stare（立つ）
circumstare（周囲に立つ, 取り囲む）
&lt;span class="spacer"&gt;&lt;/span&gt;現在分詞circumstans
&lt;span class="spacer"&gt;&lt;/span&gt;名詞を作る-iaが付いて
circumstantia（取り巻く状態, 周囲の条件）</t>
  </si>
  <si>
    <t>日本語のマナーと同じ。</t>
  </si>
  <si>
    <t>residentは「繰り返し同じところに座る＝定住者」というイメージ。</t>
  </si>
  <si>
    <t>wealthのwealは、wellと関連する。</t>
  </si>
  <si>
    <t>wele（幸せ）+th（名詞化）
welth
&lt;span class="spacer"&gt;&lt;/span&gt;12世紀半ば
&lt;span class="obsolete"&gt;幸福（現在は廃用）&lt;/span&gt;
価値ある物の所有, 豊かな繁栄
&lt;span class="spacer"&gt;&lt;/span&gt;1590年代までに
豊富さ, 富</t>
  </si>
  <si>
    <t>stitut</t>
  </si>
  <si>
    <t>institutionは「社会の中に（in）立てられた（st）仕組み」や「仕組みを持つ組織」というイメージ。</t>
  </si>
  <si>
    <t>in（中に）+statuere（立てる, 設置する）
instituere（設ける, 確立する）
&lt;span class="spacer"&gt;&lt;/span&gt;過去分詞institutus（設立された, 定められた）
&lt;span class="spacer"&gt;&lt;/span&gt;名詞を作る-ioが付いて
institutio（配置, 制度の確立）</t>
  </si>
  <si>
    <t>author（著者）と関連させて覚える。authorは何かを創り出す人。authorityはそういった人が持つ影響力や決定する力というイメージ。</t>
  </si>
  <si>
    <t>augere（増やす, 成長させる）
&lt;span class="spacer"&gt;&lt;/span&gt;過去分詞auctus（増やされた, 成長した）
&lt;span class="spacer"&gt;&lt;/span&gt;名詞を作る-or（～する人, もの）が付いて
auctor（成長させる者, 指導者, 著者）
&lt;span class="spacer"&gt;&lt;/span&gt;名詞を作る-tasが付いて
auctoritas（権威, 影響力）</t>
  </si>
  <si>
    <t>voteは「自分の票をささげること」というイメージ。この「ささげる」という行為はdevoteにも関連する。</t>
  </si>
  <si>
    <t>seeの名詞「見えるもの」と覚えておけばよい。</t>
  </si>
  <si>
    <t>日本語のキャンペーンと同じ。</t>
  </si>
  <si>
    <t>campus（平野）</t>
  </si>
  <si>
    <t>場所に関する名詞を作る-iaが付いて
campania（平野）</t>
  </si>
  <si>
    <t>fund（底, 基礎）系はまとめて覚える。</t>
  </si>
  <si>
    <t>12世紀
fond（底, 地面, 商人の基本的な在庫や資本）</t>
  </si>
  <si>
    <t>webは「糸を張りめぐらした網目上の構造」というイメージ。</t>
  </si>
  <si>
    <t>webb（織られた布）</t>
  </si>
  <si>
    <t>日本語のシンボルと同じ。</t>
  </si>
  <si>
    <t>ballein（投げる）
&lt;span class="spacer"&gt;&lt;/span&gt;名詞になって
bolē（投げること）
&lt;span class="spacer"&gt;&lt;/span&gt;syn（共に）+bolē
symbolon（共に投げ合わされたもの, 合言葉, しるし）</t>
  </si>
  <si>
    <t>analysisは「複雑なものの分解」というイメージ。</t>
  </si>
  <si>
    <t>lyein（ほどく）
&lt;span class="spacer"&gt;&lt;/span&gt;名詞になって
lysis（ほどくこと）
&lt;span class="spacer"&gt;&lt;/span&gt;ana（全体を）+lysis
analysis（分解, 問題を分析によって解決すること）</t>
  </si>
  <si>
    <t>日本語のバージョン（◯◯版）と同じ。</t>
  </si>
  <si>
    <t>vertere（回す, 向ける）</t>
  </si>
  <si>
    <t>名詞を作る-ioが付いて
versio（回転, 翻訳）</t>
  </si>
  <si>
    <t>crisisは「生死を分ける危機」が語源。</t>
  </si>
  <si>
    <t>krinein（分ける）
&lt;span class="spacer"&gt;&lt;/span&gt;名詞を作る-sisが付いて
krisis（病気の分岐点, 回復か死かを分ける点）</t>
  </si>
  <si>
    <t xml:space="preserve">1620年代
医療にかかわらず、重大局面, 危機 </t>
  </si>
  <si>
    <t>disasterのaster部分は「星」のこと。</t>
  </si>
  <si>
    <t>dis（否定）+astro（星）
disastro（星のめぐりが悪い）</t>
  </si>
  <si>
    <t>日本語のレクチャーと同じ。</t>
  </si>
  <si>
    <t>logy部分は「学問」を、psycho部分はサイコパスのサイコと同じで「心」に関連する。</t>
  </si>
  <si>
    <t>psykhē（呼吸, 霊, 心, 魂）+logia（学問, 研究）</t>
  </si>
  <si>
    <t>psychologia（魂・心の研究）</t>
  </si>
  <si>
    <t>1650年代
魂・心の研究
&lt;span class="spacer"&gt;&lt;/span&gt;1748年
心的現象の科学
心理学</t>
  </si>
  <si>
    <t>「ジェンダーの平等」と関連させて覚える。
また印欧祖語*gene-（生む, 産む）系はまとめて覚える。</t>
  </si>
  <si>
    <t>customeからできた動詞accustomを使ったbe accustomed to 名詞と関連させて覚える。</t>
  </si>
  <si>
    <t>スポーツのコートから四方を囲まれた土地→中庭→宮廷→法廷という順で覚えていく。</t>
  </si>
  <si>
    <t>com（共に）+hortus（庭, 囲われた土地）
cohors（囲われた庭, 中庭, 集まった人々）
&lt;span class="spacer"&gt;&lt;/span&gt;cors
囲い地
支配者の周囲に集まる人々
※curia（君主の会議）の影響を受けた意味</t>
  </si>
  <si>
    <t>desertは「捨てられた土地」というイメージ。</t>
  </si>
  <si>
    <t>靴底のソールとsoilの「土地, 土壌」は関連させて覚える。</t>
  </si>
  <si>
    <t>以下の3つが合わって英語となる
&lt;span class="spacer"&gt;&lt;/span&gt;①sol（地面）
&lt;span class="spacer"&gt;&lt;/span&gt;②soeul（場所）
&lt;span class="spacer"&gt;&lt;/span&gt;③soil（泥だらけの場所）</t>
  </si>
  <si>
    <t>agri部分が「畑」で、cultureが「耕作」を意味する。</t>
  </si>
  <si>
    <t>colere（耕す）
&lt;span class="spacer"&gt;&lt;/span&gt;名詞を作る-uraが付いて
cultura（耕作）
&lt;span class="spacer"&gt;&lt;/span&gt;ager（畑）</t>
  </si>
  <si>
    <t>ager（畑）+cultura（耕作）
&lt;span class="spacer"&gt;&lt;/span&gt;agricultura（土地の耕作）</t>
  </si>
  <si>
    <t>日本語のドキュメントと同じ。</t>
  </si>
  <si>
    <t>decere（適切である）
&lt;span class="spacer"&gt;&lt;/span&gt;使役動詞になって
docere（示す, 教える）
&lt;span class="spacer"&gt;&lt;/span&gt;名詞を作る-mentumが付いて
documentum（証拠, 教訓）</t>
  </si>
  <si>
    <t>日本語のボキャブラリー（語彙, 単語の集合）と同じ。</t>
  </si>
  <si>
    <t>vocare（名づける, 呼ぶ）
&lt;span class="spacer"&gt;&lt;/span&gt;名詞を作る-bulum（～するためのもの）が付いて
vocabulum（呼ぶためのもの, 名前, 単語）</t>
  </si>
  <si>
    <t>人工知能＝AIのInteligence（知能）と関連させて覚える。</t>
  </si>
  <si>
    <t>consciousは「内なる自分（意識）が知っている」というイメージ。</t>
  </si>
  <si>
    <t>1600年頃
知っている
&lt;span class="spacer"&gt;&lt;/span&gt;1620年代
conscious to oneself
自分の意識で知っている
&lt;span class="spacer"&gt;&lt;/span&gt;1630年代
意識している
&lt;span class="spacer"&gt;&lt;/span&gt;1650年代
ある事実に気づいている</t>
  </si>
  <si>
    <t>be capable of 名詞（〜できる）という形で覚える。
capableは、capa（つかんで）ble（できる）というイメージ。</t>
  </si>
  <si>
    <t>capere（つかむ, 取る）
&lt;span class="spacer"&gt;&lt;/span&gt;形容詞形になって
capex（受け取る余裕がある, 多くを収容できる）</t>
  </si>
  <si>
    <t>accurateのcura部分は、care（注意）と同じ。何かを注意して行うことから「正確で精密」というイメージ。</t>
  </si>
  <si>
    <t>curs（注意, 配慮）
&lt;span class="spacer"&gt;&lt;/span&gt;ad（～へ）+curare（注意を払う, 世話をする）
accurare（注意深く世話をする, 配慮する）
&lt;span class="spacer"&gt;&lt;/span&gt;過去分詞accuratus（注意深く準備された, 正確な, 念入りな）</t>
  </si>
  <si>
    <t>fundus（底, 基礎）系はまとめて覚える。</t>
  </si>
  <si>
    <t>fundus（底, 基礎）
&lt;span class="spacer"&gt;&lt;/span&gt;動詞になって
fundare（土台を据える, 設立する）
&lt;span class="spacer"&gt;&lt;/span&gt;名詞を作る-mentumが付いて
fundamentum（基礎, 土台）
&lt;span class="spacer"&gt;&lt;/span&gt;形容詞を作る-alisが付いて
fundamentalis（基礎の, 土台に関する）</t>
  </si>
  <si>
    <t>AI（人工知能）のA＝artificial（人工の）</t>
  </si>
  <si>
    <t>facere（する, 作る）
&lt;span class="spacer"&gt;&lt;/span&gt;名詞を作る要素になって
fex（〜する人）
&lt;span class="spacer"&gt;&lt;/span&gt;ars（技術, 芸術）+fex（〜する人）
artifex（職人, 芸術家）
&lt;span class="spacer"&gt;&lt;/span&gt;名詞を作る-iumが付いて
artificium（技術, 芸術作品, 理論）
&lt;span class="spacer"&gt;&lt;/span&gt;形容詞を作る-alisが付いて
artificialis（技術の, 芸術に関する）</t>
  </si>
  <si>
    <t>confirm（確認する）と関連させて覚える。firmは「動かない」というイメージ。</t>
  </si>
  <si>
    <t>roomと関連させて覚える。</t>
  </si>
  <si>
    <t>nuclear weapon（核兵器）から「核の, 原子力の」という意味になる。</t>
  </si>
  <si>
    <t>bio（生物, 生命, バイオ）とlogy（学問）から覚える。</t>
  </si>
  <si>
    <t>日本語のコンスタント（一定の）と同じ。</t>
  </si>
  <si>
    <t>com（強意）+stare（立つ）
constare（しっかり立つ, 堅固である）
&lt;span class="spacer"&gt;&lt;/span&gt;現在分詞constantem（堅固な, 安定した）</t>
  </si>
  <si>
    <t>日本語のシビアと同じ。</t>
  </si>
  <si>
    <t>severus（厳格な, 厳しい）</t>
    <rPh sb="8" eb="10">
      <t>ゲンカク</t>
    </rPh>
    <rPh sb="13" eb="14">
      <t>キビ</t>
    </rPh>
    <phoneticPr fontId="1"/>
  </si>
  <si>
    <t>日本語のビジュアル（見た目の）と同じで「見る」に関わる語。</t>
  </si>
  <si>
    <t>enormousは、e＝ex（外に）とnorm（基準, ノルマ）でできていて「基準を超えて普通じゃない」というイメージ。</t>
  </si>
  <si>
    <t>便利なコンビニ（コンビニエンス・ストア）のconvenienceの形容詞。</t>
  </si>
  <si>
    <t>domは「家」というイメージ。</t>
  </si>
  <si>
    <t>domus（家）
&lt;span class="spacer"&gt;&lt;/span&gt;形容詞を作る-icusが付いて
domesticus（家に関する, 家庭の）</t>
  </si>
  <si>
    <t>大衆に向けて情報発信するマスメディアのマス。</t>
    <phoneticPr fontId="1"/>
  </si>
  <si>
    <t>massa（こねた生地, 塊, 生地のようにまとまりを持つもの）</t>
    <rPh sb="9" eb="11">
      <t>キジ</t>
    </rPh>
    <rPh sb="13" eb="14">
      <t>カタマリ</t>
    </rPh>
    <phoneticPr fontId="1"/>
  </si>
  <si>
    <t>1580年代
大量, 多数
&lt;span class="spacer"&gt;&lt;/span&gt;1600年頃
全体的な量
&lt;span class="spacer"&gt;&lt;/span&gt;1620年代
全体の大部分
&lt;span class="spacer"&gt;&lt;/span&gt;1733年から形容詞として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2" eb="135">
      <t>ケイヨウシ</t>
    </rPh>
    <rPh sb="139" eb="141">
      <t>タイシュウ</t>
    </rPh>
    <rPh sb="144" eb="146">
      <t>シュウダン</t>
    </rPh>
    <phoneticPr fontId="1"/>
  </si>
  <si>
    <t>typicalのtypはタイプ（type, 型）と同じ。</t>
    <rPh sb="22" eb="23">
      <t>カタ</t>
    </rPh>
    <rPh sb="25" eb="26">
      <t>オナ</t>
    </rPh>
    <phoneticPr fontId="1"/>
  </si>
  <si>
    <t>overseasは「海を越えた外国へ」というイメージ。</t>
    <phoneticPr fontId="1"/>
  </si>
  <si>
    <t>confuseは「ごちゃ混ぜになる」というイメージ。</t>
    <phoneticPr fontId="1"/>
  </si>
  <si>
    <t>demonstrateは「証拠や行動で示す」というイメージ。</t>
  </si>
  <si>
    <t>behaveのhaveは「自分の行動を持つ」というイメージ。</t>
  </si>
  <si>
    <t>15世紀初頭
be（強調）+have（特定の方法で持つ）
behave（特定の方法で振る舞う）</t>
  </si>
  <si>
    <t>educateの名詞education（教育）と関連させて覚える。</t>
  </si>
  <si>
    <t>purchaseのchase部分は、chase（追いかける）と同じ。</t>
  </si>
  <si>
    <t>日本語でも使われるレコメンド（おすすめ）と同じ。</t>
  </si>
  <si>
    <t>com（強意）+mandare（任務として委ねる, 任せる）
commendare（世話を委ねる, 託す）</t>
  </si>
  <si>
    <t>admitは「入場ゲートを通す」イメージ。
mit（送る）系はまとめて覚える。</t>
    <rPh sb="26" eb="27">
      <t>オク</t>
    </rPh>
    <rPh sb="29" eb="30">
      <t>ケイ</t>
    </rPh>
    <rPh sb="35" eb="36">
      <t>オボ</t>
    </rPh>
    <phoneticPr fontId="1"/>
  </si>
  <si>
    <t>rate</t>
  </si>
  <si>
    <t>印欧祖語*gene-（生む, 産む）系はまとめて覚える。
generation（世代）やgeneral（一般的な）と関連させて覚える。</t>
  </si>
  <si>
    <t>exploreは「外に向かって叫んで調べる」というイメージ。</t>
    <phoneticPr fontId="1"/>
  </si>
  <si>
    <t>amazing（アメイジング）という驚きの表現と関連させて覚える。</t>
  </si>
  <si>
    <t>a（強意）＋*mæs（迷宮）
amasod（呆然とした）</t>
  </si>
  <si>
    <t>アニメーション追加</t>
    <rPh sb="7" eb="9">
      <t>ツイカ</t>
    </rPh>
    <phoneticPr fontId="1"/>
  </si>
  <si>
    <t>settleのset部分は、sit（座る）やseat（座席）に関連する。</t>
  </si>
  <si>
    <t>affordのford部分は、forth（前へ）と関連する。何かを前へ進めて実現する「余裕がある」となる。
&lt;span class="spacer"&gt;&lt;/span&gt;cannot afford to do（〜する余裕がない）という表現で覚えておく。</t>
  </si>
  <si>
    <t>concludeは「議論をまとめて閉じる」というイメージ。</t>
  </si>
  <si>
    <t>advertiseの名詞advertisement（広告）と関連させて覚える。advertisementは、adという省略形で書かれることがある。</t>
  </si>
  <si>
    <t>ad（〜へ）+vertere（回す, 向ける）
advertere（〜の方へ向きを変える, 注意を向ける）</t>
  </si>
  <si>
    <t>encounterのcounter部分は、contrast（コントラスト, 対照）と関連する。相手と向かい合うイメージ。</t>
    <phoneticPr fontId="1"/>
  </si>
  <si>
    <t>アプリの新着通知や予定をお知らせしてくれる機能をリマインダー（reminder, 思い出させるもの）と言う。</t>
  </si>
  <si>
    <t>テレビ番組のロケは、locateの名詞location（場所, 現場）から来ている。</t>
  </si>
  <si>
    <t>日本語でも使われる商標band-aid（バンドエイド）と関連させて覚える。バンドエイドは応急処置（助ける）のためのもの。</t>
  </si>
  <si>
    <t>日本語でも使われるdeliverの名詞delivery（配達）と関連させて覚える。</t>
  </si>
  <si>
    <t>perceiveのceiveは「つかむ」という意味。ここからperceiveは「心でとらえる」というイメージ。</t>
  </si>
  <si>
    <t>distinguishは、distinct（明確な, 明らかに異なる）とdistinctive（特徴的な, 他とは異なる）と関連させて覚える。</t>
  </si>
  <si>
    <t>implyは、im（中に）とply（包む）というイメージ。</t>
  </si>
  <si>
    <t>日本語でも使われる自転車や車のハンドルからイメージをつかむ。</t>
  </si>
  <si>
    <t>praiseは、price（価値, 価格）と同じ語源に由来する。</t>
    <rPh sb="22" eb="23">
      <t>オナ</t>
    </rPh>
    <rPh sb="24" eb="26">
      <t>ゴゲン</t>
    </rPh>
    <rPh sb="27" eb="29">
      <t>ユライ</t>
    </rPh>
    <phoneticPr fontId="1"/>
  </si>
  <si>
    <t>日本語のアピールからはイメージしづらい法的な意味「訴える, 上訴する」があるので注意。</t>
  </si>
  <si>
    <t>insistのsist部分は、じっと立つというイメージ。</t>
  </si>
  <si>
    <t>日本語でもスポーツやデザインの公募などで「コンペ」という言葉が使われる。これはcompeteの名詞competition（競争）のこと。</t>
  </si>
  <si>
    <t>日本語でも使われるランクづけと同じ。</t>
  </si>
  <si>
    <t>よく使われるシャレが、denyは「〜デナイ」と「否定する」。
denyのny部分は、notと同じ語源にさかのぼる。</t>
  </si>
  <si>
    <t>ject（投げる）系はまとめて覚える。</t>
  </si>
  <si>
    <t>exは「外に」、poseは「置く」というイメージ。</t>
  </si>
  <si>
    <t>favorの核は「対象を好んで支持する」。</t>
  </si>
  <si>
    <t>inspireのspi部分は「息」を表す。古代の人々は息を「生命の根源」と考えていたため、「中に息を吹く」ということは力や新しいアイデアを吹き込むイメージ。
&lt;span class="spacer"&gt;&lt;/span&gt;対義語expireは、息が外に出ることから、命が切れる＝「期限が切れる」という意味になる。</t>
  </si>
  <si>
    <t>pose（置く）系はまとめて覚える。</t>
  </si>
  <si>
    <t>名詞breath（息, ブレス）と関連させて覚える。</t>
  </si>
  <si>
    <t>日本語でもリペア（修理）として使われる。
repairのreは「再び」で、pair部分は、prepareのpare部分と同じく「整える」。再び整える＝「修理する」。</t>
  </si>
  <si>
    <t>consistは、consist of / consist inで覚える。</t>
  </si>
  <si>
    <t>日本語のコメントと同じ。</t>
  </si>
  <si>
    <t>mēns（心）に関連する動詞
meminisse（思い出す）
&lt;span class="spacer"&gt;&lt;/span&gt;com（強意）+minīscī
comminīscī（考え出す）
&lt;span class="spacer"&gt;&lt;/span&gt;過去分詞commentum（考え出されたもの）</t>
  </si>
  <si>
    <t>struct</t>
  </si>
  <si>
    <t>指導する人（インストラクター, instructor）と関連させて覚える。</t>
  </si>
  <si>
    <t>religionのlig部分は、relyと同じく「結ぶ」に由来する可能性があり、「人と神を結びつける」イメージ。</t>
  </si>
  <si>
    <t>neighborhoodのneigh部分は、near（近い）と同じだと考えてよい。</t>
  </si>
  <si>
    <t>日本語でも研究室のことをラボと言う。
laboratoryのlabor部分は、現代英語のlabor（労働）と同じ。</t>
  </si>
  <si>
    <t>labor（労働）
&lt;span class="spacer"&gt;&lt;/span&gt;動詞になって
laborare（働く）
&lt;span class="spacer"&gt;&lt;/span&gt;過去分詞laboratus（働いた）</t>
  </si>
  <si>
    <t>presenceは「目の前にある」というイメージ。</t>
  </si>
  <si>
    <t>Aの害になる
cause harm to A
do harm to A</t>
  </si>
  <si>
    <t>stru</t>
  </si>
  <si>
    <t>in（中に）+struere（積み上げる）
instruere（中に積み上げる, 秩序立てる, 教える）
&lt;span class="spacer"&gt;&lt;/span&gt;名詞を作る-mentumが付いて
instrumentum（道具, 器具）</t>
  </si>
  <si>
    <t>日本語のカテゴリと同じ。</t>
  </si>
  <si>
    <t>capitalのcapt部分は、captain（キャプテン）と同じく「頭」を意味する。</t>
  </si>
  <si>
    <t>outcomeは「出てくるもの」というイメージ。</t>
  </si>
  <si>
    <t>not</t>
  </si>
  <si>
    <t>noscere（知るようになる, 認識する）
&lt;span class="spacer"&gt;&lt;/span&gt;過去分詞から名詞を作る-ioが付いて
notio（知られたこと, 概念, 考え）</t>
  </si>
  <si>
    <t>日本語でも使われるレビューと同じだが、「復習」という意味もある。これはre＋view＝「繰り返し見ること」から理解できる。</t>
  </si>
  <si>
    <t>versi</t>
  </si>
  <si>
    <t>dis（離れて）+vertere（回す, 向ける）
divertere（異なる方向に向ける）
&lt;span class="spacer"&gt;&lt;/span&gt;過去分詞diversus（異なる方向に向いた）
&lt;span class="spacer"&gt;&lt;/span&gt;名詞を作る-tasが付いて
diversitas（対立, 相違, 差異）</t>
  </si>
  <si>
    <t>victima（神に捧げる生贄としての動物や人）</t>
  </si>
  <si>
    <t>ob（〜に向かって）+cadere（落ちる）
occidere（〜に向かって落ちる, 倒れる, 沈む）
&lt;span class="spacer"&gt;&lt;/span&gt;過去分詞occasus
&lt;span class="spacer"&gt;&lt;/span&gt;名詞を作る-ioが付いて
occasio（機会, 適切な時期）</t>
  </si>
  <si>
    <t>facilityは、facultyと関連させて覚える。どちらも「行いやすいこと」に由来する。
facilityは、簡単に行うためのもの＝「施設, 設備」。
facultyは、簡単に行える力＝「能力」。</t>
  </si>
  <si>
    <t>日本語でも使われるストック（在庫, 蓄え）と関連させて覚える。</t>
  </si>
  <si>
    <t>fer（運ぶ）系はまとめて覚える。
日本でも「会議」のことをカンファレンスと言う。</t>
  </si>
  <si>
    <t>humani</t>
  </si>
  <si>
    <t>humanと関連させて覚える。</t>
  </si>
  <si>
    <t>dialogue（ダイアローグ, 対話）と関連させて覚える。</t>
  </si>
  <si>
    <t>proportionは、部分（portion）を前へ（pro）出して他と比較するイメージ。</t>
  </si>
  <si>
    <t>law（法律）＋er（〜する人）として覚える。</t>
  </si>
  <si>
    <t>stuffは「漠然として何かのモノ」というイメージ。</t>
  </si>
  <si>
    <t>estoffer（装備する, 備え付ける）
&lt;span class="spacer"&gt;&lt;/span&gt;estoffe（キルティング素材, 家具, 備品）</t>
  </si>
  <si>
    <t>14世紀初頭
鎖かたびらの下に着るキルティング素材
&lt;span class="spacer"&gt;&lt;/span&gt;1400年頃
職人が加工に用いる素材
&lt;span class="spacer"&gt;&lt;/span&gt;15世紀初頭
軍の補給物資
&lt;span class="spacer"&gt;&lt;/span&gt;15世紀半ば
一般的な所有物, 財産, 食料
さらに抽象的になり、種類を特定しない物や材料</t>
  </si>
  <si>
    <t>comfortは「相手を力づける慰めや快適さ」というイメージ。comfortable（快適な）と関連させて覚える。</t>
  </si>
  <si>
    <t>philo（愛する）＋sophia（知）から成り立つ。</t>
  </si>
  <si>
    <t>quanti</t>
  </si>
  <si>
    <t>land（土地）＋scap（〜の状態）
landscap（地域）</t>
  </si>
  <si>
    <t>tribeのtri部分は、トリプルのtriと同じ。</t>
  </si>
  <si>
    <t>organは「全体を機能させるためのもの」というイメージ。</t>
  </si>
  <si>
    <t>organon（何かを行うためのもの, 道具, 感覚器官, 身体器官, 楽器）</t>
  </si>
  <si>
    <t>trialはtryの名詞で「試すこと」覚える。</t>
  </si>
  <si>
    <t>日本語のノルマと同じ。</t>
  </si>
  <si>
    <t>codeは「ルールを体系的にまとめたもの」というイメージ。</t>
  </si>
  <si>
    <t>caudex（木の幹, 木の板に蝋を流して作った本）
&lt;span class="spacer"&gt;&lt;/span&gt;codex（制定した法の体系的な分類）</t>
  </si>
  <si>
    <t>1946年から
コンピュータのプログラムの言語</t>
  </si>
  <si>
    <t>substanceは「変化しにく本質的なもの」というイメージ。</t>
    <phoneticPr fontId="1"/>
  </si>
  <si>
    <t>multipleのmulti部分は「多数」を意味する。これは日本語でもマルチとして使われる。
ple部分は、doubleやtripleのように「n倍, n重」を意味する。</t>
  </si>
  <si>
    <t>number（数）と関連させて覚える。</t>
  </si>
  <si>
    <t>wide（広い）とspread（広がる）の過去分詞形容詞の組み合わせ。</t>
  </si>
  <si>
    <t>sufficientは「必要な数量足りている」というイメージ。</t>
  </si>
  <si>
    <t>proper, property, appropriateはまとめて、private（プライベート）と関連させて覚える。</t>
  </si>
  <si>
    <t>linguisticのlingu部分は、bilingual（バイリンガル, 2カ国語話者）のlinguと同じで「言語」を意味する。</t>
  </si>
  <si>
    <t>近代英語①</t>
  </si>
  <si>
    <t>近代英語②</t>
  </si>
  <si>
    <t>annualのannu部分は、anniversary（周年記念日）のanniと同じく「年」を意味する。</t>
  </si>
  <si>
    <t>annus（年）</t>
  </si>
  <si>
    <t>com（共に）と、時間に関係する「テンポ」が合わさって「同じ時代の」と覚える。</t>
  </si>
  <si>
    <t>tempus（時間）
&lt;span class="spacer"&gt;&lt;/span&gt;形容詞を作る-ariusが付いて
temporarius（時間の）</t>
  </si>
  <si>
    <t>1630年代
同時の, 同時代の
&lt;span class="spacer"&gt;&lt;/span&gt;1805年から
芸術や文学などに関して、現代の</t>
  </si>
  <si>
    <t>contraryのcontra部分は、コントラストと同じく「反対」というイメージ。</t>
  </si>
  <si>
    <t>strictly speaking（厳密に言えば）と関連させて覚える、
またstrictのstr部分は、stressやstrainなどと同じく「強く引き締める」イメージ。</t>
  </si>
  <si>
    <t>city, civilizeやシビリアンコントロールなど、「市民」に関連する語で合わせて覚える。</t>
  </si>
  <si>
    <t>奇数はodd number / 偶数はeven numberと言う。</t>
  </si>
  <si>
    <t>superioは、super（上に）の比較級で「より上の, より優れた」と覚える。</t>
  </si>
  <si>
    <t>sense（感覚）と関連する語。</t>
  </si>
  <si>
    <t>violent（暴力的な, 激しい）の名詞violence（暴力）は、DV（家庭内暴力, ドメスティック・バイオレンス）で使わられる。</t>
  </si>
  <si>
    <t>vis（力）から派生した動詞violare（力によって踏みにじる）に関連する
&lt;span class="spacer"&gt;&lt;/span&gt;violentus（力の激しい, 荒々しい, 過激な）</t>
  </si>
  <si>
    <t>tu</t>
  </si>
  <si>
    <t>日本語でもヴァーチャル・リアリティ（仮想現実）として使われる。virtualは架空や嘘といった意味に誤解されることがあるが、本質は「実際には存在しないが、本物と同じ力がある」というイメージ。</t>
  </si>
  <si>
    <t>vir（男）
&lt;span class="spacer"&gt;&lt;/span&gt;名詞を作る-tusが付いて
virtus（男らしさ, 男気, 力, 卓越性）</t>
  </si>
  <si>
    <t>14世紀後期
肉体的な能力によって影響を及ぼす
固有の自然な性質に対して効果的な
&lt;span class="spacer"&gt;&lt;/span&gt;15世紀初頭
ある効果を生み出す能力を持つ
&lt;span class="spacer"&gt;&lt;/span&gt;15世紀半ば
実際には存在しないが、実質的に存在していること</t>
  </si>
  <si>
    <t>regardは「注意して目を向ける」イメージ。それが無い（less）から「〜に関係なく, 〜にかかわらず」となる。</t>
  </si>
  <si>
    <t>mediate</t>
  </si>
  <si>
    <t>immediateのim部分は「否定」で、med部分は「中間」を意味し、「間に何もない」というイメージ。</t>
  </si>
  <si>
    <t>medius（中間の）
&lt;span class="spacer"&gt;&lt;/span&gt;動詞になって
mediare（半分にする）
&lt;span class="spacer"&gt;&lt;/span&gt;過去分詞midiatus（中間に置かれた）</t>
  </si>
  <si>
    <t>crucialは、crossと同じ語源に由来する。</t>
  </si>
  <si>
    <t>crucial（十字形の, 膝の十字靭帯の）</t>
    <phoneticPr fontId="1"/>
  </si>
  <si>
    <t>some（いくらかの）+what（もの）から「不特定の程度や量」を意味する。</t>
    <rPh sb="23" eb="26">
      <t>フトクテイ</t>
    </rPh>
    <rPh sb="27" eb="29">
      <t>テイド</t>
    </rPh>
    <rPh sb="30" eb="31">
      <t>リョウ</t>
    </rPh>
    <rPh sb="33" eb="35">
      <t>イミ</t>
    </rPh>
    <phoneticPr fontId="1"/>
  </si>
  <si>
    <t>interpretは「AとBの間に入ってAをBに変換する」イメージ。</t>
  </si>
  <si>
    <t>日本語のリクエストと同じ。</t>
  </si>
  <si>
    <t>以下と関連させて覚える。
criticism（批評, 批判）
critic（批評家, 批判者）
critical（批判的な, 決定的な, クリティカルな）</t>
  </si>
  <si>
    <t>krinein（分ける, 判断する）
&lt;span class="spacer"&gt;&lt;/span&gt;形容詞を作る-ikosが付いて
kritikos（判断を下すことができる）</t>
  </si>
  <si>
    <t>overとcomeから「乗り越える」イメージ。</t>
  </si>
  <si>
    <t>ofer（上に, 越えて）＋cuman（来る）
ofercuman
越えて来る, 追いつく, 追い越す
宗教的または道徳的な悪や罪の誘惑に打ち勝つ</t>
  </si>
  <si>
    <t>obtainは「対象をグッとつかんで離さない」イメージ。</t>
  </si>
  <si>
    <t>ob（強意）＋tenere（保つ）
obtinere（しっかり保つ, つかみ取る, 獲得する）</t>
  </si>
  <si>
    <t>名詞のinformation（情報）と関連させ、「情報を与える」と覚えておけばよい。</t>
  </si>
  <si>
    <t>en（動詞化）とsure（確信, 確実）と関連させて覚える。</t>
  </si>
  <si>
    <t>14世紀後期から英語でも見られる</t>
  </si>
  <si>
    <t>日本語でも使われる場内アナウンス（場内でのお知らせ）や、アナウンサー（announcer, 発表する人, ニュースを知らせる人）と関連させて覚える。</t>
  </si>
  <si>
    <t>take A for granted（Aを当然のことと思う）も覚えておく。</t>
  </si>
  <si>
    <t>日本語でも使われる画面がフリーズする（固まる）と関連させて覚える。また「冷凍庫」のことを英語でfreezer（フリーザー）と言う。</t>
  </si>
  <si>
    <t>ob（〜に対して）＋ponere（置く）
oppnere（相手に対して置く, 反対する）</t>
  </si>
  <si>
    <t>fer（運ぶ）系はまとめて覚える。
different（さまざまな, 異なっている）の動詞と覚えればよい。</t>
  </si>
  <si>
    <t>hatian（激しい悪意をもって嫌う, 強い嫌悪感を抱く, 敵として扱う）</t>
  </si>
  <si>
    <t>emphasis（強調）の動詞として覚える。</t>
  </si>
  <si>
    <t>employは「事業の中に折り込む＝雇う」というイメージ。</t>
  </si>
  <si>
    <t>credere（信じる）系はまとめて覚える。</t>
  </si>
  <si>
    <t>transformは「あるフォームから別のフォームにする」というイメージ。</t>
  </si>
  <si>
    <t>constructは「いろいろなパーツを積み上げて作り上げる」というイメージ。</t>
  </si>
  <si>
    <t>rise（上がる）にa（〜から）が付いた語。</t>
  </si>
  <si>
    <t>音楽の「ズンズンズン」という打ちつけるようなビートと関連させて覚える。</t>
  </si>
  <si>
    <t>alter. alternative, alternateを関連させて覚える。これはotherと同じ印欧祖語にさかのぼる。</t>
  </si>
  <si>
    <t>absorbのsorb部分は「吸い込む」という意味。</t>
  </si>
  <si>
    <t>disappointは、appoint（指名する, 任命する）と関連させて覚える。任命したのに「失望させてがっかり」というイメージで覚える。</t>
  </si>
  <si>
    <t>à point（要点に, 適切に）
&lt;span class="spacer"&gt;&lt;/span&gt;apointer（適切に）
&lt;span class="spacer"&gt;&lt;/span&gt;apointer（配置する, 任命する）
&lt;span class="spacer"&gt;&lt;/span&gt;des（反対）＋apointer（任命する）
desapointer（任命を取り消す）</t>
  </si>
  <si>
    <t>import（輸入する）, export（輸出する）と関連させて覚える。</t>
  </si>
  <si>
    <t>通勤・通学時に交通機関が非常に混雑する時間帯をラッシュアワーと言う。これは人々が急いで行くことに由来する。</t>
  </si>
  <si>
    <t>日本語でも使われるhanger（ハンガー, 服を掛ける物）と関連させて覚える。ここから-er（〜する人, 〜する物）を取ればhang（掛ける）になる。</t>
  </si>
  <si>
    <t>blameは「悪いことを相手に帰属させる」というイメージ。</t>
    <phoneticPr fontId="1"/>
  </si>
  <si>
    <t>blasphemare（悪口を言う, 非難する）</t>
  </si>
  <si>
    <t>recoverのcoverは、ceive系やcaptureの「取る」と関連する。</t>
    <phoneticPr fontId="1"/>
  </si>
  <si>
    <t>有名人のことを指すセレブ（celebrity）と関連する語。celebrate, celebrityに共通するのは「人が集まる」というイメージ。</t>
    <rPh sb="0" eb="3">
      <t>ユウメイジン</t>
    </rPh>
    <rPh sb="7" eb="8">
      <t>サ</t>
    </rPh>
    <rPh sb="24" eb="26">
      <t>カンレン</t>
    </rPh>
    <rPh sb="28" eb="29">
      <t>ゴ</t>
    </rPh>
    <rPh sb="51" eb="53">
      <t>キョウツウ</t>
    </rPh>
    <rPh sb="58" eb="59">
      <t>ヒト</t>
    </rPh>
    <rPh sb="60" eb="61">
      <t>アツ</t>
    </rPh>
    <phoneticPr fontId="1"/>
  </si>
  <si>
    <t>celeber（人の多い, 混雑した, 有名な）
&lt;span class="spacer"&gt;&lt;/span&gt;動詞になって
celebrare（大勢で集まる, 祭典などを執り行う）
&lt;span class="spacer"&gt;&lt;/span&gt;過去分詞celebratus</t>
    <rPh sb="14" eb="16">
      <t>コンザツ</t>
    </rPh>
    <rPh sb="73" eb="74">
      <t>アツ</t>
    </rPh>
    <rPh sb="78" eb="80">
      <t>サイテン</t>
    </rPh>
    <rPh sb="83" eb="84">
      <t>ト</t>
    </rPh>
    <rPh sb="85" eb="86">
      <t>オコナ</t>
    </rPh>
    <phoneticPr fontId="1"/>
  </si>
  <si>
    <t>manufactureのmanu部分は、manualと同じ「手」を意味する。facuture部分は、factoryと同じで「造る」を意味する。</t>
    <rPh sb="16" eb="18">
      <t>ブブン</t>
    </rPh>
    <rPh sb="27" eb="28">
      <t>オナ</t>
    </rPh>
    <rPh sb="30" eb="31">
      <t>テ</t>
    </rPh>
    <rPh sb="33" eb="35">
      <t>イミ</t>
    </rPh>
    <rPh sb="46" eb="48">
      <t>ブブン</t>
    </rPh>
    <rPh sb="58" eb="59">
      <t>オナ</t>
    </rPh>
    <rPh sb="62" eb="63">
      <t>ツク</t>
    </rPh>
    <rPh sb="66" eb="68">
      <t>イミ</t>
    </rPh>
    <phoneticPr fontId="1"/>
  </si>
  <si>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phoneticPr fontId="1"/>
  </si>
  <si>
    <t>inter（間に）とact（行う, 作用する）からイメージをつかむ。</t>
    <rPh sb="6" eb="7">
      <t>アイダ</t>
    </rPh>
    <rPh sb="14" eb="15">
      <t>オコナ</t>
    </rPh>
    <rPh sb="18" eb="20">
      <t>サヨウ</t>
    </rPh>
    <phoneticPr fontId="1"/>
  </si>
  <si>
    <t>日本語のアレンジは工夫というニュアンスだが、英語は異なるので注意。
arrangeのrange部分は、rank（ランク, 地位, 階級）と関連し「並べて整える」というイメージ。</t>
    <rPh sb="0" eb="3">
      <t>ニホンゴ</t>
    </rPh>
    <rPh sb="9" eb="11">
      <t>クフウ</t>
    </rPh>
    <rPh sb="22" eb="24">
      <t>エイゴ</t>
    </rPh>
    <rPh sb="25" eb="26">
      <t>コト</t>
    </rPh>
    <rPh sb="30" eb="32">
      <t>チュウイ</t>
    </rPh>
    <rPh sb="47" eb="49">
      <t>ブブン</t>
    </rPh>
    <rPh sb="61" eb="63">
      <t>チイ</t>
    </rPh>
    <rPh sb="65" eb="67">
      <t>カイキュウ</t>
    </rPh>
    <rPh sb="69" eb="71">
      <t>カンレン</t>
    </rPh>
    <rPh sb="73" eb="74">
      <t>ナラ</t>
    </rPh>
    <rPh sb="76" eb="77">
      <t>トトノ</t>
    </rPh>
    <phoneticPr fontId="1"/>
  </si>
  <si>
    <t>rang（列, 階級, ランク）
&lt;span class="spacer"&gt;&lt;/span&gt;動詞になって
rangier（列に並べる）
&lt;span class="spacer"&gt;&lt;/span&gt;a（〜へ）＋rangier（列に並べる）
arengier（列に並べる, 隊列を整える）</t>
    <phoneticPr fontId="1"/>
  </si>
  <si>
    <t>日本語でも使われるadjuster（アジャスター, 調整するもの）と関連させて覚える。</t>
    <phoneticPr fontId="1"/>
  </si>
  <si>
    <t>ad（〜へ）＋iuxta（隣に, 近くに）
&lt;span class="spacer"&gt;&lt;/span&gt;動詞になって
adiuxtare（近くへ持ってくる）</t>
    <phoneticPr fontId="1"/>
  </si>
  <si>
    <t>firm（確固たる）の動詞としてイメージすればよい。</t>
    <rPh sb="5" eb="7">
      <t>カッコ</t>
    </rPh>
    <rPh sb="11" eb="13">
      <t>ドウシ</t>
    </rPh>
    <phoneticPr fontId="1"/>
  </si>
  <si>
    <t>ferre（運ぶ）系はまとめて覚える。
translateは「ある言葉を別の言葉へ運ぶ」イメージ。</t>
  </si>
  <si>
    <t>concentrateのcentr部分は、center（中心, センター）と同じなので「中心に集める」イメージ。</t>
  </si>
  <si>
    <t>sightはseeの名詞と考えればよい。</t>
  </si>
  <si>
    <t>novat</t>
  </si>
  <si>
    <t>innovationのnov部分は、novel（目新しい）と同じ語源に由来する。</t>
  </si>
  <si>
    <t>16世紀後期
貯蔵, 寄せ集め
&lt;span class="spacer"&gt;&lt;/span&gt;1733年
予算, 歳出入の見積書
（財務大臣が財政計画書を革の袋にいれて持ち歩いたことに由来する）</t>
  </si>
  <si>
    <t>feeは「家畜, 財産→君主に仕える役職→役職の報酬→一般的な報酬や料金」へと発展した。</t>
  </si>
  <si>
    <t>古英語feohとアングロ・フランス語feeが影響し合い、1つの単語として成立する
&lt;span class="spacer"&gt;&lt;/span&gt;1300年頃
封建的な主従関係を条件として与えられる土地や権利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</si>
  <si>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形容詞expensive（高価な）と関連させ、何かを出費するイメージを持っておく。
またexpend / spend（費やす）の名詞で「費やすもの」として覚えてもよい。</t>
  </si>
  <si>
    <t>debtは「借りているもの, 借り」と覚えておけばよい。</t>
  </si>
  <si>
    <t>日本語のローンと同じ。
loanはlend（貸す）と同じ語源にさかのぼるのでセットで覚える。</t>
  </si>
  <si>
    <t>alarmのarm部分は「武器」を意味した。</t>
  </si>
  <si>
    <t>a（〜へ）le（その）＋ arme（武器）
all’arme（武装せよ！武器を取れ！）</t>
  </si>
  <si>
    <t>動詞emerge（現れる, 明らかになる）の名詞として覚える。</t>
  </si>
  <si>
    <t>democracyのdemo部分は「民衆」という意味。</t>
  </si>
  <si>
    <t>dēmos（地区, 民衆）＋kratos（支配, 統治）
dēmokratía（民衆による統治）</t>
  </si>
  <si>
    <t>ministerのmini部分は「ミニ, 小さい」と同じ。ministerは「より大きいものの下につく者」というイメージ。</t>
  </si>
  <si>
    <t>minor（より小さい）＋teros（比較級接尾辞）
minister（下位の者, 祭司の助手, 召使い）
&lt;span class="spacer"&gt;&lt;/span&gt;&lt;span class="obsolete"&gt;これは magis（より大きい）＋ter（比較級接尾辞）を真似して作られた語
ちなみにラテン語magisterは、master（長, 師）になった&lt;/span&gt;</t>
  </si>
  <si>
    <t>fellowのfe部分は、fee（料金）と関連して「お金」に由来する。fellowは、共同出資者から仲間という意味になった。</t>
  </si>
  <si>
    <t>fe（お金）＋lag（置くこと）
felagi（共同事業でお金を出し合う者, 仲間）</t>
  </si>
  <si>
    <t>candidateのcand部分は、candle（キャンドル）と同じ。「白く輝く」というイメージ。古代ローマの公職志願者は、白い服を着ていた。</t>
  </si>
  <si>
    <t>candere（白く輝く）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phoneticPr fontId="1"/>
  </si>
  <si>
    <t>corporat</t>
  </si>
  <si>
    <t>会社名の「◯◯コーポレーション」から「企業, 法人」というイメージを持つ。</t>
  </si>
  <si>
    <t>日本語でもステレオタイプ（固定観念）は使われるので、そのまま覚える。</t>
    <phoneticPr fontId="1"/>
  </si>
  <si>
    <t>日本語のルートと同じ。</t>
  </si>
  <si>
    <t>order（秩序, 整っている状態）にdis（否定）が付いたと考えればよい。</t>
  </si>
  <si>
    <t>状態をde（下に）press（押す）というイメージ。</t>
  </si>
  <si>
    <t>emigrate / immigrate / emigrateを関係させて覚える。</t>
  </si>
  <si>
    <t>日本語でも使われるバリア（防ぐ物）と関連させて覚える。</t>
  </si>
  <si>
    <t>barra（棒）
&lt;span class="spacer"&gt;&lt;/span&gt;barriere（障害物）</t>
  </si>
  <si>
    <t>advantage（利点, 利益, アドバンテージ）の反対と覚える。</t>
  </si>
  <si>
    <t>日本語でも使われるムード（気分, 雰囲気）と同じ。</t>
  </si>
  <si>
    <t>routineのrout部分は、route（ルート, 道）と同じ。ルーティーンはいつも同じ道を通る感じ。</t>
  </si>
  <si>
    <t xml:space="preserve">disciplineは、ラテン語discipulus（弟子, 学生）から生まれたので「学び」と関係する意味になる。
学ぶ内容→学問分野
指導方法→規律, しつけ, 訓練 </t>
  </si>
  <si>
    <t>mythは「真偽不明な古くから伝えられる物語」というイメージ。</t>
  </si>
  <si>
    <t>mythos（話し言葉, 会話, 語り, 伝承, 神話）</t>
  </si>
  <si>
    <t>hypothesisは「下に置くこと＝前提となる仮説」というイメージ。この発想はsuppose（仮定する）と同じ。</t>
  </si>
  <si>
    <t>physicianとsurgeonはセットで覚える。</t>
  </si>
  <si>
    <t>examine</t>
  </si>
  <si>
    <t>exam / examination（試験）と関連させて覚える。</t>
  </si>
  <si>
    <t>ex（外へ）+agere（動かす, 駆り立てる）
exigere（追い出す, 要求する, 正確に量る）
&lt;span class="spacer"&gt;&lt;/span&gt;examen（秤, 秤の舌, 測定）
&lt;span class="spacer"&gt;&lt;/span&gt;動詞になって
examinare（量る, 試験する）</t>
  </si>
  <si>
    <t>clientのcli部分は、inclined, declineのcli部分と同じで「傾く」という意味。</t>
  </si>
  <si>
    <t>clinare（傾く）に関連する
clientem（家臣, 従者）</t>
  </si>
  <si>
    <t>state（国家, 州）やstatus（ステータス）と同じ語源に由来する。statisticsはもともと「国にかかわる統計を扱う学問」だった。</t>
  </si>
  <si>
    <t>stare（立つ）
&lt;span class="spacer"&gt;&lt;/span&gt;名詞を作る-usが付いて
status（立つこと, 場所, 位置, 状態, 共同体の体制）</t>
  </si>
  <si>
    <t>Statistik
ドイツ人政治学者が著書『国家学入門』（1748年）の中で広めた語
人口、資源、軍事力、税収といった「国家の国力や状態を記述・比較する学問」</t>
  </si>
  <si>
    <t>ingredientのin部分は「中に」で、gredi部分は「歩く」。「中に入る」というイメージ。</t>
  </si>
  <si>
    <t>日本語でも使われるトレジャー（宝物）と同じ。</t>
  </si>
  <si>
    <t>tithenai（置く）に関連する
thēsauros（蓄え, 宝）</t>
  </si>
  <si>
    <t>tract（引く）系はまとめて覚える。</t>
  </si>
  <si>
    <t>welfareをひっくり返したfarewell（別れ）は同じ語源にさかのぼる。またfare部分は、fare（運賃）と同じ語源にさかのぼる。</t>
  </si>
  <si>
    <t>curiousは、cur部分が「注意, 関心」で、ous部分が「満ちた」というイメージ。</t>
  </si>
  <si>
    <t>cura（注意, 関心, 世話）
&lt;span class="spacer"&gt;&lt;/span&gt;形容詞を作る-osus（満ちた）を作る
curiosus（注意深い, 熱心に探りたがる）</t>
  </si>
  <si>
    <t>日本語でも使われるドラマ（劇）やドラマチックと関連させて覚える。</t>
  </si>
  <si>
    <t>distinguish（区別する）の形容詞として覚えればよい。
distinctは「区別されて他と明らかに異なる」というイメージ。</t>
  </si>
  <si>
    <t>dis（離れて）+stinguere（突く, 刺激する）
distinguere（区別する, 分け隔てる）
&lt;span class="spacer"&gt;&lt;/span&gt;過去分詞distinctus（区別された, 明確な）</t>
  </si>
  <si>
    <t>anxiousは「胸を締め付けられる→心配・不安→切望」という流れ。</t>
  </si>
  <si>
    <t>日本語でもバイタリティ（vitality, 活力, 活気）という言葉があるが、vita部分は「生命, 生きる力」に関わる。</t>
  </si>
  <si>
    <t>conventionalはconvention（慣習）と関連させて覚える。
人が集まってconvention（慣習）ができる。そして慣習は「型にはまっていて、従来と変わらない」conventionalとなる。</t>
  </si>
  <si>
    <t>abs</t>
  </si>
  <si>
    <t>truct</t>
  </si>
  <si>
    <t>abstractは「具体的なものから引き離されて抽象的」というイメージ。</t>
  </si>
  <si>
    <t>日本語でも使われるマイナー（小さい, 些細な, メジャーの反対）と同じ。</t>
  </si>
  <si>
    <t>extraordinaryは、order, ordinary（通常）のextra（外）と覚えればよい。</t>
  </si>
  <si>
    <t>staと見たら、まず「立つ」系と考える。</t>
  </si>
  <si>
    <t>flexibleのflex部分は、reflectのflectと同じで「曲げる」という意味。</t>
  </si>
  <si>
    <t>visual, videoなど、vi(s)部分は「見る」に関連する。</t>
  </si>
  <si>
    <t>un（否定）とexpect（期待する）と関連させて覚える。unexpectedは「期待していなくて予想外」というイメージ。</t>
  </si>
  <si>
    <t>specere（見る）
&lt;span class="spacer"&gt;&lt;/span&gt;反復形spectare（繰り返し見る, 注視する）
&lt;span class="spacer"&gt;&lt;/span&gt;ex（外に, 徹底的に）+spectare（注視する）
expectare（徹底的に注視する, 待ち望む, 期待する, 予期する）</t>
  </si>
  <si>
    <t>日本語でも使われるエスニック料理（民族料理）と関連させて覚える。</t>
  </si>
  <si>
    <t>エイリアンと聞くと宇宙人が思い浮かぶが、語源を「自分たち側ではない向こう側」というイメージ。
事件当時の「アリバイ, alibi」という言葉も同じ語源にさかのぼる。</t>
  </si>
  <si>
    <t>iti</t>
  </si>
  <si>
    <t>日本語でも使われるイニシャル（初めの文字, 頭文字）と関連させて覚える。</t>
  </si>
  <si>
    <t>in（中に）+ire（行く）
inire（中に入る, 着手する, 始める）
&lt;span class="spacer"&gt;&lt;/span&gt;名詞を作る-iumが付いて
initium（始まり, 入り口）
&lt;span class="spacer"&gt;&lt;/span&gt;形容詞を作る-alisが付いて
initialis（始まりの, 最初の）</t>
  </si>
  <si>
    <t>exactは「徹底的に行われたから正確な」というイメージ。
exactly（正確に, まさにその通り）も覚えておく。</t>
  </si>
  <si>
    <t>ex（外へ）+agere（動かす, 駆り立てる）
exigere（追い出す, 要求する, 正確に量る）
&lt;span class="spacer"&gt;&lt;/span&gt;過去分詞exactus（正確な, 精密な, 完全に仕上げられた）</t>
  </si>
  <si>
    <t>preciseは「pre（あらかじめ）余分や無駄がcise（切り落とされて）正確な」というイメージ。</t>
  </si>
  <si>
    <t>late（遅い）と関連させて覚える。
latterは、lateの比較級で、2つの内の後の方。</t>
  </si>
  <si>
    <t>日本語でも使われるグラノーラ（穀物である麦を使ったシリアル食品）と関連させて覚える。
&lt;div class="sample_image grain"&gt;&lt;/div&gt;</t>
    <phoneticPr fontId="1"/>
  </si>
  <si>
    <t>mit（送る）系はまとめて覚える。</t>
  </si>
  <si>
    <t>stimulateのsti部分は「突っつく」イメージ。</t>
  </si>
  <si>
    <t>reactの名詞reaction（リアクション, 反応）と関連させて覚える。</t>
  </si>
  <si>
    <t>stareは「視線を対象に硬直させる」というイメージ。</t>
  </si>
  <si>
    <t>quitus（戦争や義務から解放された）</t>
  </si>
  <si>
    <t>&lt;span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t>
  </si>
  <si>
    <t>&lt;span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t>
  </si>
  <si>
    <t>&lt;span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t>
  </si>
  <si>
    <t>&lt;span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t>
  </si>
  <si>
    <t>&lt;span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t>
  </si>
  <si>
    <t>&lt;span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t>
    <rPh sb="137" eb="138">
      <t>シタ</t>
    </rPh>
    <rPh sb="199" eb="200">
      <t>シタ</t>
    </rPh>
    <rPh sb="202" eb="203">
      <t>ハコ</t>
    </rPh>
    <rPh sb="212" eb="213">
      <t>ヒ</t>
    </rPh>
    <rPh sb="214" eb="215">
      <t>マキ</t>
    </rPh>
    <rPh sb="221" eb="222">
      <t>シタ</t>
    </rPh>
    <rPh sb="223" eb="224">
      <t>ハコ</t>
    </rPh>
    <rPh sb="226" eb="228">
      <t>ヨウス</t>
    </rPh>
    <rPh sb="230" eb="232">
      <t>エンゲキ</t>
    </rPh>
    <rPh sb="233" eb="235">
      <t>ブタイ</t>
    </rPh>
    <rPh sb="236" eb="237">
      <t>シタ</t>
    </rPh>
    <rPh sb="243" eb="244">
      <t>オモ</t>
    </rPh>
    <rPh sb="245" eb="246">
      <t>ダ</t>
    </rPh>
    <rPh sb="251" eb="252">
      <t>シタ</t>
    </rPh>
    <rPh sb="254" eb="255">
      <t>ハコ</t>
    </rPh>
    <rPh sb="257" eb="259">
      <t>ヨウス</t>
    </rPh>
    <rPh sb="262" eb="264">
      <t>アイテ</t>
    </rPh>
    <rPh sb="265" eb="266">
      <t>ナニ</t>
    </rPh>
    <rPh sb="268" eb="269">
      <t>サ</t>
    </rPh>
    <rPh sb="270" eb="271">
      <t>ダ</t>
    </rPh>
    <rPh sb="275" eb="277">
      <t>イミ</t>
    </rPh>
    <rPh sb="289" eb="290">
      <t>サ</t>
    </rPh>
    <rPh sb="291" eb="292">
      <t>ダ</t>
    </rPh>
    <rPh sb="338" eb="339">
      <t>ナニ</t>
    </rPh>
    <rPh sb="341" eb="342">
      <t>サ</t>
    </rPh>
    <rPh sb="343" eb="344">
      <t>ダ</t>
    </rPh>
    <rPh sb="352" eb="353">
      <t>ベツ</t>
    </rPh>
    <phoneticPr fontId="1"/>
  </si>
  <si>
    <t>&lt;span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t>
  </si>
  <si>
    <t>&lt;span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t>
  </si>
  <si>
    <t>&lt;span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t>
  </si>
  <si>
    <t>&lt;span class="w"&gt;&lt;b&gt;【14.share：～を共有する】&lt;/b&gt;&lt;/span&gt;
&lt;span class="ml"&gt;古英語scearu（切ること）にさかのぼる語。
&lt;span class="spacer"&gt;&lt;/span&gt;「切ること」から、全体を切って「分ける, 共有する」という意味になる。&lt;/span&gt;</t>
  </si>
  <si>
    <t>&lt;span class="w"&gt;&lt;b&gt;【ターゲット1000：943.in store (for)：（～のために）用意して, （～の身に）降りかかろうとして】&lt;/b&gt;&lt;/span&gt;
&lt;span class="ml"&gt;これはもともと「将来使うために備蓄してある」という意味。
ここから比喩的に出来事が「降りかかろうとしている」「用意されている」となった。&lt;/span&gt;</t>
  </si>
  <si>
    <t>&lt;span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t>
  </si>
  <si>
    <t>&lt;span class="w"&gt;&lt;b&gt;【ターゲット1000：745.tend to do：～する傾向にある】&lt;/b&gt;&lt;/span&gt;
&lt;span class="ml"&gt;to do（～すること）の方にtend（傾く）
ここから「～する傾向がある」となる。&lt;/span&gt;</t>
  </si>
  <si>
    <t>&lt;span class="w"&gt;&lt;b&gt;【be concerned with～：～に関係している】&lt;/b&gt;&lt;/span&gt;
&lt;span class="ml"&gt;共にふるいにかけられて残るイメージから「～と関係がある」&lt;/span&gt;</t>
  </si>
  <si>
    <t>&lt;span class="w"&gt;&lt;b&gt;【be concerned about～：～を心配している】&lt;/b&gt;&lt;/span&gt;
&lt;span class="ml"&gt;about（～について）で心配することを示して「～を心配している」となる。&lt;/span&gt;</t>
  </si>
  <si>
    <t>&lt;span class="w"&gt;&lt;b&gt;【ターゲット1000：925.ascribe：AをBのせいにする】&lt;/b&gt;&lt;/span&gt;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</si>
  <si>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t>
  </si>
  <si>
    <t>&lt;span class="w"&gt;&lt;b&gt;【be involved in ～：～に携わっている, 関係している】&lt;/b&gt;&lt;/span&gt;
&lt;span class="ml"&gt;受け身だと巻き込まれているとなるので「～に関わっている, 携わっている」となる。&lt;/span&gt;</t>
  </si>
  <si>
    <t>&lt;span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t>
  </si>
  <si>
    <t>&lt;span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t>
  </si>
  <si>
    <t>&lt;span class="w"&gt;&lt;b&gt;【22.force：強いる】&lt;/b&gt;&lt;/span&gt;
&lt;span class="ml"&gt;ラテン語fortis（力強い）に由来する。
&lt;span class="spacer"&gt;&lt;/span&gt;「力強い」から名詞の「力」、さらに力を使って何かをする＝「強いる・強制する」という動詞になる。&lt;/span&gt;</t>
  </si>
  <si>
    <t>&lt;span class="w"&gt;&lt;b&gt;【23.limit：～を制限する】&lt;/b&gt;&lt;/span&gt;
&lt;span class="ml"&gt;ラテン語limitem（境界, 限界）に由来する。
&lt;span class="spacer"&gt;&lt;/span&gt;「境界, 限界」から、限界を設定する＝「制限する」という意味になる。&lt;/span&gt;</t>
  </si>
  <si>
    <t>&lt;span class="w"&gt;&lt;b&gt;【ターゲット1000：592.bear A in mind：Aを心に留める】&lt;/b&gt;&lt;/span&gt;
&lt;span class="ml"&gt;Aをin mind（心の中に）bear（留める）となる。&lt;/span&gt;</t>
  </si>
  <si>
    <t>&lt;span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t>
  </si>
  <si>
    <t>&lt;span class="w"&gt;&lt;b&gt;【ターゲット1000：415.in effect：①実際は, ②実施されて】&lt;/b&gt;&lt;/span&gt;
&lt;span class="ml"&gt;①15世紀初頭effectには何かの行動から出たもの
&lt;span class="arrow"&gt;→&lt;/span&gt;「現実」という意味があった。ここから「実際は」となる。
②in effect「効果がある状態にある」から「実施されて」となる。&lt;/span&gt;</t>
  </si>
  <si>
    <t>&lt;span class="w"&gt;&lt;b&gt;【ターゲット1000：61.deal with：～を扱う. 処理する】&lt;/b&gt;&lt;/span&gt;
&lt;span class="ml"&gt;分配する相手と関わる
&lt;span class="arrow"&gt;→&lt;/span&gt;関わった人や物事をdeal with「扱う, 処理する」
withはかかわる対象を示す。&lt;/span&gt;</t>
  </si>
  <si>
    <t>&lt;span class="w"&gt;&lt;b&gt;【ターゲット1000：859.deal in：～を取引する, ～を扱う】&lt;/b&gt;&lt;/span&gt;
&lt;span class="ml"&gt;分配する相手と関わる
&lt;span class="arrow"&gt;→&lt;/span&gt;関わった物事や商品をdeal in「取引する」
inは取引の中にあるものを示す。&lt;/span&gt;</t>
  </si>
  <si>
    <t>&lt;span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t>
  </si>
  <si>
    <t>&lt;span class="w"&gt;&lt;b&gt;【avoidの目的語は動名詞】&lt;/b&gt;&lt;/span&gt;
&lt;span class="ml"&gt;avoid ～ing「～することを避ける」&lt;/span&gt;</t>
  </si>
  <si>
    <t>&lt;span class="w"&gt;&lt;b&gt;【ターゲット1000：549.be related to：～と関係がある】&lt;/b&gt;&lt;/span&gt;
&lt;span class="ml"&gt;relate「関連付ける」を受け身にすれば「～と関係がある」となる。
方向を示すtoで関係「先」を示す。&lt;/span&gt;</t>
  </si>
  <si>
    <t>&lt;span class="w"&gt;&lt;b&gt;【29.realize：～を実現する, ～に気づく】&lt;/b&gt;&lt;/span&gt;
&lt;span class="ml"&gt;フランス語に由来する語で、以下の2つの要素から成る。
&lt;span class="spacer"&gt;&lt;/span&gt;réal（現実の）
iser（動詞化）
&lt;span class="spacer"&gt;&lt;/span&gt;この語の核は「現実（リアル）にする」ということ。現実にする＝「実現する」、現実として認識する＝「気づく」という意味になる。&lt;/span&gt;</t>
  </si>
  <si>
    <t>&lt;span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t>
  </si>
  <si>
    <t>&lt;span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t>
  </si>
  <si>
    <t>&lt;span class="w"&gt;&lt;b&gt;【32.measure：～を計測する】&lt;/b&gt;&lt;/span&gt;
&lt;span class="ml"&gt;ラテン語metri（測る）に由来する。
&lt;span class="spacer"&gt;&lt;/span&gt;ラテン語から意味の変化はほとんどない。&lt;/span&gt;</t>
  </si>
  <si>
    <t>&lt;span class="w"&gt;&lt;b&gt;【34.mark：～に印を付ける】&lt;/b&gt;&lt;/span&gt;
&lt;span class="ml"&gt;古英語mearcian / merciga（印を付ける）にさかのぼる語。
&lt;span class="spacer"&gt;&lt;/span&gt;古英語から意味はほとんど変わっていない。&lt;/span&gt;</t>
  </si>
  <si>
    <t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t>
  </si>
  <si>
    <t>&lt;span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t>
  </si>
  <si>
    <t>&lt;span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t>
  </si>
  <si>
    <t>&lt;span class="w"&gt;&lt;b&gt;【仮定法現在】&lt;/b&gt;&lt;/span&gt;
demand that S (should) do</t>
  </si>
  <si>
    <t>&lt;span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t>
  </si>
  <si>
    <t>&lt;span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t>
  </si>
  <si>
    <t>&lt;span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</si>
  <si>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&lt;span class="w"&gt;&lt;b&gt;【ターゲット1000：164.according to A：①Aによれば, ②Aに従って】&lt;/b&gt;&lt;/span&gt;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</si>
  <si>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&lt;span class="w"&gt;&lt;b&gt;【ターゲット1000：958.in accordance with A：Aに従って】&lt;/b&gt;&lt;/span&gt;
&lt;span class="ml"&gt;accord（一致する）の名詞accordance
直訳：Aと一致して
&lt;span class="arrow"&gt;→&lt;/span&gt;Aから外れずに従っている
&lt;span class="arrow"&gt;→&lt;/span&gt;「Aに従って」となる。
くっつくイメージのwithで従う対象を示す。&lt;/span&gt;</t>
  </si>
  <si>
    <t>&lt;span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t>
  </si>
  <si>
    <t>&lt;span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t>
  </si>
  <si>
    <t>&lt;span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t>
  </si>
  <si>
    <t>&lt;span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t>
  </si>
  <si>
    <t>&lt;span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t>
  </si>
  <si>
    <t>&lt;span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t>
  </si>
  <si>
    <t>&lt;span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t>
  </si>
  <si>
    <t>&lt;span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t>
  </si>
  <si>
    <t>&lt;span class="w"&gt;&lt;b&gt;【52.skill：技術, 技能】&lt;/b&gt;&lt;/span&gt;
&lt;span class="ml"&gt;古ノルド語skil（区別, 見分ける能力）に由来する。
&lt;span class="spacer"&gt;&lt;/span&gt;日本語でも使われるスキル（技能, 技術）で覚えればよい。&lt;/span&gt;</t>
  </si>
  <si>
    <t>&lt;span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t>
  </si>
  <si>
    <t>&lt;span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</si>
  <si>
    <t>&lt;span class="w"&gt;&lt;b&gt;【55.value：価値, 評価, 値】&lt;/b&gt;&lt;/span&gt;
&lt;span class="ml"&gt;ラテン語valere（価値がある, 強い）に由来する。
&lt;span class="spacer"&gt;&lt;/span&gt;価値があるという動詞から名詞になり、「価値, 評価, 値」という意味になる。&lt;/span&gt;</t>
  </si>
  <si>
    <t>&lt;span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t>
  </si>
  <si>
    <t>&lt;span class="w"&gt;&lt;b&gt;【57.thought：考え】&lt;/b&gt;&lt;/span&gt;
&lt;span class="ml"&gt;古英語þencan（考える）から派生したþoht（考え）にさかのぼる。
&lt;span class="spacer"&gt;&lt;/span&gt;現代英語thinkと過去分詞thoughtとの関係で覚えればよい。&lt;/span&gt;</t>
  </si>
  <si>
    <t>&lt;span class="w"&gt;&lt;b&gt;【58.knowledge：知識, 認識】&lt;/b&gt;&lt;/span&gt;
&lt;span class="ml"&gt;knowledgeは「knowの名詞」と覚えればよい。
&lt;span class="spacer"&gt;&lt;/span&gt;知っているという動詞から知っていること＝「知識, 認識」という名詞になる。&lt;/span&gt;</t>
  </si>
  <si>
    <t>&lt;span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t>
  </si>
  <si>
    <t>&lt;span class="w"&gt;&lt;b&gt;【ターゲット1000：628.in practice：実際には】&lt;/b&gt;&lt;/span&gt;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</si>
  <si>
    <t>&lt;span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t>
  </si>
  <si>
    <t>&lt;span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t>
  </si>
  <si>
    <t>&lt;span class="w"&gt;&lt;b&gt;【ターゲット1000：346.in theory：理論上は】&lt;/b&gt;&lt;/span&gt;
&lt;span class="ml"&gt;in theoryは直訳通り「理論の中では, 理論上は」となる。&lt;/span&gt;&lt;span class="ml"&gt;これはin practice「実際には」の反対として捉える。つまり実際の話ではなく、頭で考えた理論の中の話であるということ。&lt;/span&gt;</t>
  </si>
  <si>
    <t>&lt;span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t>
  </si>
  <si>
    <t>&lt;span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t>
  </si>
  <si>
    <t>&lt;span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t>
  </si>
  <si>
    <t>&lt;span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t>
  </si>
  <si>
    <t>&lt;span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t>
  </si>
  <si>
    <t>&lt;span class="w"&gt;&lt;b&gt;【ターゲット1000：551.be subject to A：Aを受けやすい, Aに服従している】&lt;/b&gt;&lt;/span&gt;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</si>
  <si>
    <t>&lt;span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t>
  </si>
  <si>
    <t>&lt;span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t>
  </si>
  <si>
    <t>&lt;span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t>
  </si>
  <si>
    <t>&lt;span class="w"&gt;&lt;b&gt;【ターゲット1000：88.play a role/part (in A)：役割を演じる】&lt;/b&gt;&lt;/span&gt;
&lt;span class="ml"&gt;playは「演じる」という意味で、直訳通り「役割を演じる」となる。
play an important roleなら「重要な役割を演じる」となる。&lt;/span&gt;</t>
  </si>
  <si>
    <t>&lt;span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t>
  </si>
  <si>
    <t>&lt;span class="w"&gt;&lt;b&gt;【ターゲット1000：598.in terms of A：Aの点で, Aの言葉で など】&lt;/b&gt;&lt;/span&gt;
&lt;span class="ml"&gt;この日本語は文脈によって様々。
重要なのはAという範囲に限定しているということ。
範囲の限定とは「（たくさんの要素があるけれどその中で）Aにおいては」というイメージ。&lt;/span&gt;</t>
  </si>
  <si>
    <t>&lt;span class="w"&gt;&lt;b&gt;【ターゲット1000：963.on ~ terms with A：Aと～の間柄で】&lt;/b&gt;&lt;/span&gt;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</si>
  <si>
    <t>&lt;span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t>
  </si>
  <si>
    <t>&lt;span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t>
  </si>
  <si>
    <t>&lt;span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t>
  </si>
  <si>
    <t>&lt;span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t>
  </si>
  <si>
    <t>&lt;span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t>
  </si>
  <si>
    <t>&lt;span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t>
  </si>
  <si>
    <t>&lt;span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t>
  </si>
  <si>
    <t>&lt;span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t>
    <rPh sb="78" eb="79">
      <t>ゴ</t>
    </rPh>
    <rPh sb="150" eb="151">
      <t>オナ</t>
    </rPh>
    <rPh sb="173" eb="175">
      <t>ゴゲン</t>
    </rPh>
    <rPh sb="211" eb="212">
      <t>ナニ</t>
    </rPh>
    <rPh sb="214" eb="216">
      <t>ジブン</t>
    </rPh>
    <rPh sb="229" eb="231">
      <t>ドウシ</t>
    </rPh>
    <rPh sb="247" eb="248">
      <t>イ</t>
    </rPh>
    <rPh sb="249" eb="250">
      <t>カ</t>
    </rPh>
    <rPh sb="254" eb="255">
      <t>ナニ</t>
    </rPh>
    <rPh sb="257" eb="259">
      <t>ジブン</t>
    </rPh>
    <rPh sb="259" eb="261">
      <t>ジシン</t>
    </rPh>
    <rPh sb="262" eb="263">
      <t>ワ</t>
    </rPh>
    <rPh sb="264" eb="265">
      <t>ア</t>
    </rPh>
    <rPh sb="278" eb="279">
      <t>ナニ</t>
    </rPh>
    <rPh sb="281" eb="283">
      <t>トクテイ</t>
    </rPh>
    <rPh sb="287" eb="288">
      <t>ワ</t>
    </rPh>
    <rPh sb="289" eb="290">
      <t>ア</t>
    </rPh>
    <rPh sb="295" eb="297">
      <t>ハッテン</t>
    </rPh>
    <rPh sb="298" eb="299">
      <t>ワ</t>
    </rPh>
    <rPh sb="300" eb="301">
      <t>ア</t>
    </rPh>
    <phoneticPr fontId="1"/>
  </si>
  <si>
    <t>&lt;span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t>
  </si>
  <si>
    <t>&lt;span class="w"&gt;&lt;b&gt;【ターゲット1000：29.be likely to do：～しそうである】&lt;/b&gt;&lt;/span&gt;
&lt;span class="ml"&gt;likely（ありそうな, 起こりそうな）なので直訳通り「～しそうである」となる。
to doで表現される動作や状態に向かっていく現実味（likely）があるというイメージ。&lt;/span&gt;</t>
  </si>
  <si>
    <t>&lt;span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t>
  </si>
  <si>
    <t>&lt;span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t>
  </si>
  <si>
    <t>&lt;span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t>
  </si>
  <si>
    <t>&lt;span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t>
  </si>
  <si>
    <t>&lt;span class="w"&gt;&lt;b&gt;【ターゲット1000：591.have A in common (with B)：（Bと）Aを共通に持っている】&lt;/b&gt;&lt;/span&gt;
&lt;span class="ml"&gt;in commonは単語の意味通り「共通に」となる。&lt;/span&gt;</t>
  </si>
  <si>
    <t>&lt;span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t>
  </si>
  <si>
    <t>&lt;span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t>
  </si>
  <si>
    <t>&lt;span class="w"&gt;&lt;b&gt;【ターゲット1000：550.S be similar to A：Aに似ている】&lt;/b&gt;&lt;/span&gt;
&lt;span class="ml"&gt;何に似ているかをto Aによって方向で示す。たくさん対象はあるが、その中でAだというイメージ。&lt;/span&gt;</t>
  </si>
  <si>
    <t>&lt;span class="w"&gt;&lt;b&gt;【87.recent：最近の】&lt;/b&gt;&lt;/span&gt;
&lt;span class="ml"&gt;ラテン語recentem（最近行われた, 起源が新しい）に由来する。
&lt;span class="spacer"&gt;&lt;/span&gt;「最近行われた」から遠い昔ではなく「最近の」という意味になる。
&lt;span class="spacer"&gt;&lt;/span&gt;副詞recently（最近は）と一緒に覚える。&lt;/span&gt;</t>
  </si>
  <si>
    <t>&lt;span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t>
  </si>
  <si>
    <t>&lt;span class="w"&gt;&lt;b&gt;【ターゲット1000：57.major in A：（大学生が）Aを専攻する】&lt;/b&gt;&lt;/span&gt;
&lt;span class="ml"&gt;このmajorは動詞。
形容詞major（主要な）
&lt;span class="arrow"&gt;→&lt;/span&gt;名詞major（主要なもの, 専門分野）
&lt;span class="arrow"&gt;→&lt;/span&gt;動詞major（ある分野を専攻する）となった。&lt;/span&gt;</t>
  </si>
  <si>
    <t>&lt;span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t>
  </si>
  <si>
    <t>&lt;span class="w"&gt;&lt;b&gt;【ターゲット1000：584.be particular about / over ～：～についてこだわる】&lt;/b&gt;&lt;/span&gt;
&lt;span class="ml"&gt;particularは「小さな部分」が根本的な意味。
ここから小さな部分に注意をはらう
&lt;span class="arrow"&gt;→&lt;/span&gt;「こだわる, 口うるさい」というイメージになる。&lt;/span&gt;</t>
  </si>
  <si>
    <t>&lt;span class="w"&gt;&lt;b&gt;【be particular to ～：～に特有である】&lt;/b&gt;&lt;/span&gt;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</si>
  <si>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t>
  </si>
  <si>
    <t>&lt;span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t>
  </si>
  <si>
    <t>&lt;span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t>
  </si>
  <si>
    <t>&lt;span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t>
  </si>
  <si>
    <t>&lt;span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t>
  </si>
  <si>
    <t>&lt;span class="w"&gt;&lt;b&gt;【ターゲット1000：412.①S be due to A：SはAのため（結果）である】&lt;/b&gt;&lt;/span&gt;
&lt;span class="ml"&gt;～に借りがある
&lt;span class="arrow"&gt;→&lt;/span&gt;何かを借りることである結果が生まれる。
ここから「Aのため（結果）である」となる。&lt;/span&gt;</t>
  </si>
  <si>
    <t>&lt;span class="w"&gt;&lt;b&gt;【ターゲット1000：412.②be due to do ～：～する予定である】&lt;/b&gt;&lt;/span&gt;
&lt;span class="ml"&gt;～に借りがある
&lt;span class="arrow"&gt;→&lt;/span&gt;to do（～すること）を負っている状態
&lt;span class="arrow"&gt;→&lt;/span&gt;まだ実行していない保留状態
&lt;span class="arrow"&gt;→&lt;/span&gt;これから「～する予定である」というイメージ。&lt;/span&gt;</t>
  </si>
  <si>
    <t>&lt;span class="w"&gt;&lt;b&gt;【ターゲット1000：165.owing to / due to ～：～のために, ～のおかげで】&lt;/b&gt;&lt;/span&gt;
&lt;span class="ml"&gt;～に借りがある
&lt;span class="arrow"&gt;→&lt;/span&gt;「～のおかげで, ～のために」というイメージ。&lt;/span&gt;</t>
  </si>
  <si>
    <t>&lt;span class="w"&gt;&lt;b&gt;【oweとdueの関係】&lt;/b&gt;&lt;/span&gt;
&lt;span class="ml"&gt;ラテン語debere（借りがある）
&lt;span class="arrow"&gt;→&lt;/span&gt;このラテン語から生まれたdue
&lt;span class="arrow"&gt;→&lt;/span&gt;このラテン語を訳語だったowe&lt;/span&gt;</t>
  </si>
  <si>
    <t>&lt;span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t>
  </si>
  <si>
    <t>&lt;span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t>
  </si>
  <si>
    <t>&lt;span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t>
  </si>
  <si>
    <t>&lt;span class="w"&gt;&lt;b&gt;【ターゲット1000：167.in spite of A：Aにもかかわらず】&lt;/b&gt;&lt;/span&gt;
&lt;span class="ml"&gt;意味の発展イメージはdespiteと同じ。
1300年頃にin despite ofとして使われていた表現に由来し、後にdespiteがspiteに短縮されてin spite ofとなった。&lt;/span&gt;</t>
  </si>
  <si>
    <t>&lt;span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t>
  </si>
  <si>
    <t>&lt;span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t>
  </si>
  <si>
    <t>&lt;span class="w"&gt;&lt;b&gt;【104.wonder：～かなと思う, 不思議に思う, 驚く】&lt;/b&gt;&lt;/span&gt;
&lt;span class="ml"&gt;古英語wundrian（驚く, 不思議に思う）に由来する。現代まで意味の変化はほとんどない。&lt;/span&gt;</t>
  </si>
  <si>
    <t>&lt;span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t>
  </si>
  <si>
    <t>&lt;span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t>
  </si>
  <si>
    <t>&lt;span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t>
  </si>
  <si>
    <t>&lt;span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t>
  </si>
  <si>
    <t>&lt;span class="w"&gt;&lt;b&gt;【109.argue：～を主張する, 議論する, 口論する】&lt;/b&gt;&lt;/span&gt;
&lt;span class="ml"&gt;印欧祖語*arg-（光る, 白い）から派生したラテン語arguere（明らかにする, 証明する）に由来する。
&lt;span class="spacer"&gt;&lt;/span&gt;「光る, 白い」は、日本語でも白日の下にさらすという表現があるが、何かを明らかにすることにつながる。ここから次のような意味になる。
&lt;span class="spacer"&gt;&lt;/span&gt;①何かを「主張する」
②お互い主張して「議論する」
③意見がぶつかって「口論する」&lt;/span&gt;</t>
  </si>
  <si>
    <t>&lt;span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t>
  </si>
  <si>
    <t>&lt;span class="w"&gt;&lt;b&gt;【112.draw：〜を引き出す, ～を引く, ～を描く】&lt;/b&gt;&lt;/span&gt;
&lt;span class="ml"&gt;古英語dragan（引く）にさかのぼる。
&lt;span class="spacer"&gt;&lt;/span&gt;「引く」という意味から「引き出す」や、線を引く＝「描く」という意味になる。&lt;/span&gt;</t>
  </si>
  <si>
    <t>&lt;span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t>
  </si>
  <si>
    <t>&lt;span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t>
  </si>
  <si>
    <t>&lt;span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t>
  </si>
  <si>
    <t>&lt;span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t>
  </si>
  <si>
    <t>&lt;span class="w"&gt;&lt;b&gt;【117.gain：～を獲得する, （速度や重さを）増す, 時計が進む】&lt;/b&gt;&lt;/span&gt;
&lt;span class="ml"&gt;フランク語*waidanjan（狩る, 採集する）に由来する。
&lt;span class="spacer"&gt;&lt;/span&gt;狩りや採集で労力をかけて何かを得ることから、利益になるものを「獲得する」という意味になる。
&lt;span class="spacer"&gt;&lt;/span&gt;さらに、獲得する＝何かが増えるというイメージから「（速度や重さを）増す, 時計が進む」という意味になる。
&lt;span class="spacer"&gt;&lt;/span&gt;gain wight
体重が増える
&lt;span class="spacer"&gt;&lt;/span&gt;This clock gains five minutes a day.
この時計は一日に5分進む。&lt;/span&gt;</t>
  </si>
  <si>
    <t>&lt;span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t>
  </si>
  <si>
    <t>&lt;span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t>
  </si>
  <si>
    <t>&lt;span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t>
  </si>
  <si>
    <t>&lt;span class="w"&gt;&lt;b&gt;【122.perform：～を行う, ～を演じる, ～を演奏する】&lt;/b&gt;&lt;/span&gt;
&lt;span class="ml"&gt;古フランス語に由来する語で、以下の2つの要素から成る。
&lt;span class="spacer"&gt;&lt;/span&gt;par（完全に）
fornir（供給する）
&lt;span class="spacer"&gt;&lt;/span&gt;このまま日本語にすると「完全に供給する」となる。これは必要なことを完遂するというイメージとなり、何かを「行う, 演じる, 演奏する」という意味になる。&lt;/span&gt;</t>
  </si>
  <si>
    <t>&lt;span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t>
  </si>
  <si>
    <t>&lt;span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t>
  </si>
  <si>
    <t>&lt;span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t>
  </si>
  <si>
    <t>&lt;span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t>
  </si>
  <si>
    <t>&lt;span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t>
  </si>
  <si>
    <t>&lt;span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t>
  </si>
  <si>
    <t>&lt;span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t>
  </si>
  <si>
    <t>&lt;span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t>
  </si>
  <si>
    <t>&lt;span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t>
  </si>
  <si>
    <t>&lt;span class="w"&gt;&lt;b&gt;【135.connect：〜をつなぐ】&lt;/b&gt;&lt;/span&gt;
&lt;span class="ml"&gt;ラテン語に由来する語で、以下の2つの要素から成る。
&lt;span class="spacer"&gt;&lt;/span&gt;com（共に）
nectere（縛る, 結びつける）
&lt;span class="spacer"&gt;&lt;/span&gt;このまま日本語にすると「共に結びつける」となる。あるものと別のものを結びつけることから「つなぐ」という意味になる。&lt;/span&gt;</t>
  </si>
  <si>
    <t>&lt;span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t>
  </si>
  <si>
    <t>&lt;span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t>
  </si>
  <si>
    <t>&lt;span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t>
    <rPh sb="184" eb="187">
      <t>ニホンゴ</t>
    </rPh>
    <rPh sb="192" eb="193">
      <t>ナニ</t>
    </rPh>
    <rPh sb="235" eb="237">
      <t>イミ</t>
    </rPh>
    <phoneticPr fontId="1"/>
  </si>
  <si>
    <t>&lt;span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t>
    <rPh sb="93" eb="95">
      <t>ハセイ</t>
    </rPh>
    <rPh sb="97" eb="99">
      <t>ドウシ</t>
    </rPh>
    <rPh sb="115" eb="117">
      <t>ユライ</t>
    </rPh>
    <rPh sb="154" eb="155">
      <t>ゴ</t>
    </rPh>
    <rPh sb="157" eb="159">
      <t>ジョウホウ</t>
    </rPh>
    <rPh sb="160" eb="162">
      <t>ミンシュウ</t>
    </rPh>
    <rPh sb="163" eb="164">
      <t>タイ</t>
    </rPh>
    <rPh sb="166" eb="167">
      <t>ヒロ</t>
    </rPh>
    <rPh sb="179" eb="181">
      <t>ドウシ</t>
    </rPh>
    <rPh sb="187" eb="188">
      <t>ホン</t>
    </rPh>
    <rPh sb="189" eb="191">
      <t>シンブン</t>
    </rPh>
    <rPh sb="196" eb="198">
      <t>ジョウホウ</t>
    </rPh>
    <rPh sb="199" eb="201">
      <t>ミンシュウ</t>
    </rPh>
    <rPh sb="202" eb="203">
      <t>ヒロ</t>
    </rPh>
    <rPh sb="208" eb="210">
      <t>バアイ</t>
    </rPh>
    <rPh sb="220" eb="222">
      <t>イミ</t>
    </rPh>
    <phoneticPr fontId="1"/>
  </si>
  <si>
    <t>&lt;span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t>
  </si>
  <si>
    <t>&lt;span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t>
  </si>
  <si>
    <t>&lt;span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t>
    <rPh sb="247" eb="249">
      <t>キンベン</t>
    </rPh>
    <rPh sb="250" eb="252">
      <t>ロウドウ</t>
    </rPh>
    <rPh sb="253" eb="255">
      <t>シゴト</t>
    </rPh>
    <rPh sb="256" eb="258">
      <t>シゴト</t>
    </rPh>
    <rPh sb="259" eb="261">
      <t>ブンヤ</t>
    </rPh>
    <rPh sb="262" eb="263">
      <t>ヒロ</t>
    </rPh>
    <phoneticPr fontId="1"/>
  </si>
  <si>
    <t>&lt;span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t>
  </si>
  <si>
    <t>&lt;span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t>
  </si>
  <si>
    <t>&lt;span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t>
  </si>
  <si>
    <t>&lt;span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t>
  </si>
  <si>
    <t>&lt;span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t>
  </si>
  <si>
    <t>&lt;span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t>
  </si>
  <si>
    <t>&lt;span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</si>
  <si>
    <t>&lt;span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t>
  </si>
  <si>
    <t>&lt;span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t>
    <rPh sb="145" eb="147">
      <t>ゴゲン</t>
    </rPh>
    <phoneticPr fontId="1"/>
  </si>
  <si>
    <t>&lt;span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t>
  </si>
  <si>
    <t>&lt;span class="w"&gt;&lt;b&gt;【155.decade：10年間】&lt;/b&gt;&lt;/span&gt;
&lt;span class="ml"&gt;ギリシャ語deka（10）に由来する。&lt;span class="obsolete"&gt;ade部分は古フランス語で付いたade（～の集まり）に由来する。&lt;/span&gt;
&lt;span class="spacer"&gt;&lt;/span&gt;10を1つのセットで考えることから、decadeという1語で「10年間」を意味する。
&lt;span class="spacer"&gt;&lt;/span&gt;December（12月）やdeciliter（デシリットル）のdec部分も「10」を意味する。
&lt;span class="spacer"&gt;&lt;/span&gt;1年＝12ヶ月になったのは紀元前7世紀ころで、それまでは10ヶ月だった。そのためDecemberはdec（10）が付いて10番目の月を表していた。
&lt;span class="spacer"&gt;&lt;/span&gt;1リットル＝10デシリットルなので、deciliterのdeciは10分の1を意味する。
&lt;span class="spacer"&gt;&lt;/span&gt;ちなみにcentury（世紀, 100年）やcentimeterのcent部分は「100」を意味する。
1m＝100cmなので、centimeterのcentiは100分の1sを意味する。&lt;/span&gt;</t>
  </si>
  <si>
    <t>&lt;span class="w"&gt;&lt;b&gt;【156.range：範囲】&lt;/b&gt;&lt;/span&gt;
&lt;span class="ml"&gt;古フランス語renge（列, 隊列）に由来する。
&lt;span class="spacer"&gt;&lt;/span&gt;広く長く伸びる兵士の隊列
から、何かが広がる「範囲」という意味になる。
&lt;div class="sample_image range"&gt;&lt;/div&gt;&lt;/span&gt;</t>
  </si>
  <si>
    <t>&lt;span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t>
  </si>
  <si>
    <t>&lt;span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t>
  </si>
  <si>
    <t>&lt;span class="w"&gt;&lt;b&gt;【159.phrase：句, 言い回し】&lt;/b&gt;&lt;/span&gt;
&lt;span class="ml"&gt;ギリシャ語phrasis（言い回し）に由来する。
&lt;span class="spacer"&gt;&lt;/span&gt;ギリシャ語から意味の変化はほとんどなく、「言い回し」＝2語以上で意味をなす「句」という意味になる。&lt;/span&gt;</t>
  </si>
  <si>
    <t>&lt;span class="w"&gt;&lt;b&gt;【160.damage：損傷, 損害】&lt;/b&gt;&lt;/span&gt;
&lt;span class="ml"&gt;ラテン語damnum（損失, 損害）に由来する。&lt;span class="obsolete"&gt;age（名詞化）は古フランス語段階で付いた。&lt;/span&gt;
&lt;span class="spacer"&gt;&lt;/span&gt;ラテン語から意味の変化はほとんどない。&lt;/span&gt;</t>
  </si>
  <si>
    <t>&lt;span class="w"&gt;&lt;b&gt;【161.impact：影響, 衝突, 衝撃（力）】&lt;/b&gt;&lt;/span&gt;
&lt;span class="ml"&gt;ラテン語に由来する語で、以下の2つの要素から成る。
&lt;span class="spacer"&gt;&lt;/span&gt;in（中へ）
pangere（固定する, 打ち込む）
&lt;span class="spacer"&gt;&lt;/span&gt;このまま日本語にすると「何かの中に固定する、打ち込む」となる。ある物が別の物にぶつかってその中に入りこんで止まるイメージから「衝突」という意味になる。また衝突のときの「衝撃」や、衝撃が伝わって生まれる「影響」という意味にもなる。&lt;/span&gt;</t>
  </si>
  <si>
    <t>&lt;span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t>
  </si>
  <si>
    <t>&lt;span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t>
  </si>
  <si>
    <t>&lt;span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t>
  </si>
  <si>
    <t>&lt;span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t>
  </si>
  <si>
    <t>&lt;span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t>
  </si>
  <si>
    <t>&lt;span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t>
  </si>
  <si>
    <t>&lt;span class="w"&gt;&lt;b&gt;【168.function：機能, 関数】&lt;/b&gt;&lt;/span&gt;
&lt;span class="ml"&gt;ラテン語fungi（実行する）から派生した名詞functio（実行, 遂行）に由来する。
&lt;span class="spacer"&gt;&lt;/span&gt;Aを実行するということは、Aという働きをする「機能」を持っているということ。たとえば心臓は全身に血液を送るという働きをするが、それは心臓が血液を循環させる機能を持つということ。このように実行から「機能」という意味になる。
&lt;span class="spacer"&gt;&lt;/span&gt;また数学に関して、ある数を入れたら別の数が出る働きをする「関数」という意味になる。数学に出てくるf(x)のfはfunction（関数）のこと。&lt;/span&gt;</t>
  </si>
  <si>
    <t>&lt;span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t>
  </si>
  <si>
    <t>&lt;span class="w"&gt;&lt;b&gt;【170.item：品目, 項目, 記事（情報の項目）】&lt;/b&gt;&lt;/span&gt;
&lt;span class="ml"&gt;ラテン語に由来する語で、以下の2つの要素から成る。
&lt;span class="spacer"&gt;&lt;/span&gt;ita（そのように）
tem（副詞を作る）
&lt;span class="spacer"&gt;&lt;/span&gt;もとは「そのように」というラテン語の副詞。これは「そのように, 同様に, さらに」という新しい情報の追加として使われていたが、次第に追加される情報そのものを意味する名詞となる。ここから書類に追加されていく「項目, 品目」や、新聞に追加されていく「記事」といった意味になる。&lt;/span&gt;</t>
  </si>
  <si>
    <t>&lt;span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t>
  </si>
  <si>
    <t>&lt;span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t>
  </si>
  <si>
    <t>&lt;span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t>
  </si>
  <si>
    <t>&lt;span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t>
  </si>
  <si>
    <t>&lt;span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t>
  </si>
  <si>
    <t>&lt;span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t>
  </si>
  <si>
    <t>&lt;span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t>
  </si>
  <si>
    <t>&lt;span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t>
  </si>
  <si>
    <t>&lt;span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t>
  </si>
  <si>
    <t>&lt;span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t>
  </si>
  <si>
    <t>&lt;span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t>
  </si>
  <si>
    <t>&lt;span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t>
  </si>
  <si>
    <t>&lt;span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t>
  </si>
  <si>
    <t>&lt;span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t>
  </si>
  <si>
    <t>&lt;span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t>
  </si>
  <si>
    <t>&lt;span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t>
  </si>
  <si>
    <t>&lt;span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t>
  </si>
  <si>
    <t>&lt;span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t>
  </si>
  <si>
    <t>&lt;span class="w"&gt;&lt;b&gt;【189.academic：学問の, 大学の】&lt;/b&gt;&lt;/span&gt;
&lt;span class="ml"&gt;ギリシャ語Acadēmeia（アカデモスの森, 学園の）に由来する。
&lt;span class="spacer"&gt;&lt;/span&gt;アカデモスという英雄の名前が付けられた森で哲学者プラトンが学園を開いたことから、その学園が「アカデメイア」と呼ばれ、そこから「学問の・大学の」という意味になった。&lt;/span&gt;</t>
  </si>
  <si>
    <t>&lt;span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t>
  </si>
  <si>
    <t>&lt;span class="w"&gt;&lt;b&gt;【191.worth：価値がある, 値する】&lt;/b&gt;&lt;/span&gt;
&lt;span class="ml"&gt;古英語weorþ（価値がある）に由来する。
&lt;span class="spacer"&gt;&lt;/span&gt;古英語から意味の変化はほとんどない。&lt;/span&gt;</t>
  </si>
  <si>
    <t>&lt;span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t>
  </si>
  <si>
    <t>&lt;span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t>
  </si>
  <si>
    <t>&lt;span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t>
  </si>
  <si>
    <t>&lt;span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t>
  </si>
  <si>
    <t>&lt;span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t>
  </si>
  <si>
    <t>&lt;span class="w"&gt;&lt;b&gt;【197.plastic：柔軟な, プラスチックの】&lt;/b&gt;&lt;/span&gt;
&lt;span class="ml"&gt;ギリシャ語に由来する語で、以下の2つの要素から成る。
plassein（こねて作る）
ikos（形容詞化）
&lt;span class="spacer"&gt;&lt;/span&gt;こねて作るということは、様々な形に成形できるので「柔軟な」という意味になる。そこからいろいろな形にできる「プラスチックの」という意味になる。&lt;/span&gt;</t>
  </si>
  <si>
    <t>&lt;span class="w"&gt;&lt;b&gt;【198.chemical：化学の, 化学的な】&lt;/b&gt;&lt;/span&gt;
&lt;span class="ml"&gt;ギリシャ語khemeioa（錬金術）に由来する。
&lt;span class="spacer"&gt;&lt;/span&gt;中世〜近世初期における化学で、卑金属を金や銀の貴金属に変えるという錬金術。この「物質に作用して変化させる技術や学問」を意味した語が、現代では「化学の, 化学的な」という意味で使われるようになった。&lt;/span&gt;</t>
  </si>
  <si>
    <t>&lt;span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t>
  </si>
  <si>
    <t>&lt;span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t>
  </si>
  <si>
    <t>&lt;span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t>
  </si>
  <si>
    <t>&lt;span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t>
    <rPh sb="204" eb="206">
      <t>ソンザイ</t>
    </rPh>
    <rPh sb="231" eb="233">
      <t>ソンザイ</t>
    </rPh>
    <rPh sb="247" eb="248">
      <t>シメ</t>
    </rPh>
    <phoneticPr fontId="1"/>
  </si>
  <si>
    <t>&lt;span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t>
  </si>
  <si>
    <t>&lt;span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t>
  </si>
  <si>
    <t>&lt;span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t>
  </si>
  <si>
    <t>&lt;span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t>
  </si>
  <si>
    <t>&lt;span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t>
  </si>
  <si>
    <t>&lt;span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t>
  </si>
  <si>
    <t>&lt;span class="w"&gt;&lt;b&gt;【211.associate：～を結びつけて考える, 交際する】&lt;/b&gt;&lt;/span&gt;
&lt;span class="ml"&gt;ラテン語に由来する語で、以下の2つの要素から成る。
&lt;span class="spacer"&gt;&lt;/span&gt;ad（～へ）
socius（仲間）から派生した動詞sociare（結びつける）
&lt;span class="spacer"&gt;&lt;/span&gt;このまま日本語にすると「〜へ結びつける」となる。あることと別のことを「結びつけて考える」、人と人を結びつけて「交際する」といった意味になる。&lt;/span&gt;</t>
  </si>
  <si>
    <t>&lt;span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t>
  </si>
  <si>
    <t>&lt;span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t>
  </si>
  <si>
    <t>&lt;span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t>
  </si>
  <si>
    <t>&lt;span class="w"&gt;&lt;b&gt;【215.unite：～をひとつにする, ～を団結させる, ～を結合する】&lt;/b&gt;&lt;/span&gt;
&lt;span class="ml"&gt;ラテン語unus（1つ）に由来する。
&lt;span class="spacer"&gt;&lt;/span&gt;「1つ」から「ひとつにする, 団結させる, 結合する」という意味になる。
&lt;span class="spacer"&gt;&lt;/span&gt;uni（ユニ）は「1」を意味し、英語のoneとも関連する。以下はuniに関連する語。
&lt;span class="spacer"&gt;&lt;/span&gt;universe（宇宙）は全体がひとつにまとまったもの。
university（大学）は教授・研究者・学生などが集まってひとつになった教育機関。
United States＝合衆国＝複数の州がひとつになったもの。&lt;/span&gt;</t>
  </si>
  <si>
    <t>&lt;span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t>
  </si>
  <si>
    <t>&lt;span class="w"&gt;&lt;b&gt;【217.seek：～を追い求める, ～を探し求める】&lt;/b&gt;&lt;/span&gt;
&lt;span class="ml"&gt;古英語secan（追い求める, 探す）にさかのぼる語。
&lt;span class="spacer"&gt;&lt;/span&gt;古英語からの意味の変化はほとんどない。&lt;/span&gt;</t>
  </si>
  <si>
    <t>&lt;span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t>
  </si>
  <si>
    <t>&lt;span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t>
  </si>
  <si>
    <t>&lt;span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t>
  </si>
  <si>
    <t>&lt;span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t>
  </si>
  <si>
    <t>&lt;span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t>
  </si>
  <si>
    <t>&lt;span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t>
  </si>
  <si>
    <t>&lt;span class="w"&gt;&lt;b&gt;【225.match：～に合う, ～に匹敵する, 一致する】&lt;/b&gt;&lt;/span&gt;
&lt;span class="ml"&gt;古英語mæcca（他と釣り合う者, 同等の者, 対になる者）にさかのぼる語。
&lt;span class="spacer"&gt;&lt;/span&gt;「釣り合う者, 同等の者」という意味から、何かと何かが「合う, 一致する」、対立において同等なので「匹敵する」となる。&lt;/span&gt;</t>
  </si>
  <si>
    <t>&lt;span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t>
  </si>
  <si>
    <t>&lt;span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t>
  </si>
  <si>
    <t>&lt;span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t>
  </si>
  <si>
    <t>&lt;span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t>
  </si>
  <si>
    <t>&lt;span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t>
  </si>
  <si>
    <t>&lt;span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t>
  </si>
  <si>
    <t>&lt;span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t>
  </si>
  <si>
    <t>&lt;span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t>
  </si>
  <si>
    <t>&lt;span class="w"&gt;&lt;b&gt;【235.wind：～を巻く, 曲がりくねる】&lt;/b&gt;&lt;/span&gt;
&lt;span class="ml"&gt;windan（回す, 巻く）という古英語に由来する。
&lt;span class="spacer"&gt;&lt;/span&gt;古英語から意味の変化はほとんどない。&lt;/span&gt;</t>
  </si>
  <si>
    <t>&lt;span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t>
  </si>
  <si>
    <t>&lt;span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t>
  </si>
  <si>
    <t>&lt;span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t>
  </si>
  <si>
    <t>&lt;span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t>
  </si>
  <si>
    <t>&lt;span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t>
  </si>
  <si>
    <t>&lt;span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t>
  </si>
  <si>
    <t>&lt;span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t>
  </si>
  <si>
    <t>&lt;span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t>
  </si>
  <si>
    <t>&lt;span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t>
  </si>
  <si>
    <t>&lt;span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t>
  </si>
  <si>
    <t>&lt;span class="w"&gt;&lt;b&gt;【248.bill：請求書, 勘定, 紙幣, 法案】&lt;/b&gt;&lt;/span&gt;
&lt;span class="ml"&gt;中世ラテン語bulla（印章, 封印された文書）に由来する。
&lt;span class="spacer"&gt;&lt;/span&gt;印章や封印をされた文書というのは、正式な文書を表す。ここから購入した商品やサービスの「請求書, 勘定」や使用される「紙幣」、立法府に提出される「法案」という意味になる。
&lt;div class="sample_image bill"&gt;&lt;/div&gt;&lt;/span&gt;</t>
    <rPh sb="185" eb="187">
      <t>シヨウ</t>
    </rPh>
    <phoneticPr fontId="1"/>
  </si>
  <si>
    <t>&lt;span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t>
  </si>
  <si>
    <t>&lt;span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t>
  </si>
  <si>
    <t>&lt;span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t>
  </si>
  <si>
    <t>&lt;span class="w"&gt;&lt;b&gt;【253.crop：作物, 収穫高】&lt;/b&gt;&lt;/span&gt;
&lt;span class="ml"&gt;古英語cropp（植物の先端）にさかのぼる語。
&lt;span class="spacer"&gt;&lt;/span&gt;植物の先端ということは、根っこではなく地上に出ている部分。つまり刈り取る部分なので「作物」という意味になる。また1年分の刈り取った量
から「収穫高」という意味にもなる。&lt;/span&gt;</t>
  </si>
  <si>
    <t>&lt;span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t>
  </si>
  <si>
    <t>&lt;span class="w"&gt;&lt;b&gt;【255.technique：技術, 技巧, 手法】&lt;/b&gt;&lt;/span&gt;
&lt;span class="ml"&gt;ギリシャ語tekhnē（技術）に由来する。これはそのまま「技術, 技巧, 手法」となった。&lt;/span&gt;</t>
  </si>
  <si>
    <t>&lt;span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t>
  </si>
  <si>
    <t>&lt;span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t>
  </si>
  <si>
    <t>&lt;span class="w"&gt;&lt;b&gt;【260.crime：罪, 犯罪, 違法行為】&lt;/b&gt;&lt;/span&gt;
&lt;span class="ml"&gt;ラテン語crimen（罪, 犯罪）に由来する。ラテン語から意味の変化はほとんどない。
&lt;span class="spacer"&gt;&lt;/span&gt;ラテン語crimenはcernere（ふるいにかける）に由来するという説がある。&lt;span class="obsolete"&gt;ラテン語cernereは、concernやcertainの語源。&lt;/span&gt;
&lt;span class="spacer"&gt;&lt;/span&gt;善悪のふるいにかけて悪に振り分けられる「罪, 犯罪, 違法行為」となる。&lt;/span&gt;</t>
  </si>
  <si>
    <t>&lt;span class="w"&gt;&lt;b&gt;【261.conflict：争い, 論争, 衝突, 不一致】&lt;/b&gt;&lt;/span&gt;
&lt;span class="ml"&gt;ラテン語に由来する語で、以下の2つの要素から成る。
&lt;span class="spacer"&gt;&lt;/span&gt;com（共に）
fligere（打つ, たたく）
&lt;span class="spacer"&gt;&lt;/span&gt;このまま日本語にすると「共に打つ」となる。お互いが叩き合うイメージから「衝突, 争い, 論争」という意味になる。またぶつかりあってお互い合わない状態＝「不一致」という意味にもなる。
&lt;div class="sample_image conflict"&gt;&lt;/div&gt;&lt;/span&gt;</t>
  </si>
  <si>
    <t>&lt;span class="w"&gt;&lt;b&gt;【262.struggle：奮闘, もがくこと】&lt;/b&gt;&lt;/span&gt;
&lt;span class="ml"&gt;中英語strogelen（取っ組み合う）にさかのぼる。
&lt;span class="spacer"&gt;&lt;/span&gt;取っ組み合う＝もがいて戦う様子から「奮闘, もがく」という意味になる。&lt;/span&gt;</t>
  </si>
  <si>
    <t>&lt;span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t>
    <rPh sb="279" eb="280">
      <t>ハナシ</t>
    </rPh>
    <phoneticPr fontId="1"/>
  </si>
  <si>
    <t>&lt;span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t>
  </si>
  <si>
    <t>&lt;span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t>
  </si>
  <si>
    <t>&lt;span class="w"&gt;&lt;b&gt;【266.pollution：汚染, 公害】&lt;/b&gt;&lt;/span&gt;
&lt;span class="ml"&gt;ラテン語に由来する語で、以下の3つの要素から成る。
&lt;span class="spacer"&gt;&lt;/span&gt;*por-（前に）
luere（塗る）
io（名詞化）
&lt;span class="spacer"&gt;&lt;/span&gt;このまま日本語にすると「前方を塗る」となる。物理的に塗って汚すイメージから、特に環境に関して「汚染, 公害」という意味になる。&lt;/span&gt;</t>
  </si>
  <si>
    <t>&lt;span class="w"&gt;&lt;b&gt;【267.trend：傾向】&lt;/b&gt;&lt;/span&gt;
&lt;span class="ml"&gt;古英語trandan（回転させる, 転がす）にさかのぼる。
&lt;span class="spacer"&gt;&lt;/span&gt;回転させる・転がすという自然の力である方向へ進むイメージから、川や山脈が形成するカーブとなる。そこから比喩的に、意見や事態がある方向に向かう＝「傾向」という意味になる。&lt;/span&gt;</t>
  </si>
  <si>
    <t>&lt;span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t>
  </si>
  <si>
    <t>&lt;span class="w"&gt;&lt;b&gt;【269.traffic：交通, 交通（輸送）量, 不正取引】&lt;/b&gt;&lt;/span&gt;
&lt;span class="ml"&gt;イタリア語trafficare（商売する）に由来する。
&lt;span class="spacer"&gt;&lt;/span&gt;もとが「商売する」という意味だったことから、取引という名詞に派生し、さらにその中でも「不正取引」という意味になる。また取引による人や物資の移動から「交通」に、人や物資の移動量から「交通量, 輸送量」になる。&lt;/span&gt;</t>
  </si>
  <si>
    <t>&lt;span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t>
  </si>
  <si>
    <t>&lt;span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t>
  </si>
  <si>
    <t>&lt;span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t>
  </si>
  <si>
    <t>&lt;span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t>
  </si>
  <si>
    <t>&lt;span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t>
  </si>
  <si>
    <t>&lt;span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t>
  </si>
  <si>
    <t>&lt;span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t>
  </si>
  <si>
    <t>&lt;span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</si>
  <si>
    <t>&lt;span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t>
  </si>
  <si>
    <t>&lt;span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t>
  </si>
  <si>
    <t>&lt;span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t>
  </si>
  <si>
    <t>&lt;span class="w"&gt;&lt;b&gt;【284.extra：追加の, 余分の】&lt;/b&gt;&lt;/span&gt;
&lt;span class="ml"&gt;ラテン語ex（外の）から派生したexterus（外側の）に由来する。
&lt;span class="spacer"&gt;&lt;/span&gt;「外側の」から、ある範囲を超えている＝「追加の, 余分の」という意味になる。&lt;/span&gt;</t>
  </si>
  <si>
    <t>&lt;span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t>
  </si>
  <si>
    <t>&lt;span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t>
  </si>
  <si>
    <t>&lt;span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t>
  </si>
  <si>
    <t>&lt;span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t>
  </si>
  <si>
    <t>&lt;span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t>
  </si>
  <si>
    <t>&lt;span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t>
  </si>
  <si>
    <t>&lt;span class="w"&gt;&lt;b&gt;【293.rare：珍しい, まれな】&lt;/b&gt;&lt;/span&gt;
&lt;span class="ml"&gt;ラテン語rarus（まばらに撒かれた, 隙間が多い）に由来する。
&lt;span class="spacer"&gt;&lt;/span&gt;まばらに撒かれた、隙間が多いということは、ある空間中に物質が密集していないということ。つまりありふれた物ではなく数が少ない＝「珍しい」という意味になる。
&lt;span class="spacer"&gt;&lt;/span&gt;ラテン語rarusの対義語densusは、英語dense（密集した, 密度の高い）となった。&lt;/span&gt;</t>
  </si>
  <si>
    <t>&lt;span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t>
  </si>
  <si>
    <t>&lt;span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t>
  </si>
  <si>
    <t>&lt;span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t>
  </si>
  <si>
    <t>&lt;span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t>
  </si>
  <si>
    <t>&lt;span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t>
  </si>
  <si>
    <t>&lt;span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t>
  </si>
  <si>
    <t>&lt;span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t>
  </si>
  <si>
    <t>&lt;span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t>
  </si>
  <si>
    <t>&lt;span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t>
  </si>
  <si>
    <t>&lt;span class="w"&gt;&lt;b&gt;【303.trust：〜を信頼する】&lt;/b&gt;&lt;/span&gt;
&lt;span class="ml"&gt;古ノルド語treysta（信頼する）に由来する。
&lt;span class="spacer"&gt;&lt;/span&gt;古ノルド語から意味の変化はほとんどない。&lt;/span&gt;</t>
  </si>
  <si>
    <t>&lt;span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t>
  </si>
  <si>
    <t>&lt;span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t>
  </si>
  <si>
    <t>&lt;span class="w"&gt;&lt;b&gt;【306.vary：様々である, 変わる】&lt;/b&gt;&lt;/span&gt;
&lt;span class="ml"&gt;ラテン語varius（様々な）に由来する。
&lt;span class="spacer"&gt;&lt;/span&gt;「様々な」が動詞になって「様々である, （いろいろと）変わる, 異なる」といった意味になる。&lt;/span&gt;</t>
  </si>
  <si>
    <t>&lt;span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t>
  </si>
  <si>
    <t>&lt;span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t>
  </si>
  <si>
    <t>&lt;span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t>
  </si>
  <si>
    <t>&lt;span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t>
  </si>
  <si>
    <t>&lt;span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t>
  </si>
  <si>
    <t>&lt;span class="w"&gt;&lt;b&gt;【313.shift：移る, 〜を変える, 移動する】&lt;/b&gt;&lt;/span&gt;
&lt;span class="ml"&gt;古英語sciftan（配置する, 分ける）にさかのぼる。
&lt;span class="spacer"&gt;&lt;/span&gt;「配置する, 分ける」という人や物の移動から、何かを「移す, 移動する, 〜を変える」という意味になる。&lt;/span&gt;</t>
  </si>
  <si>
    <t>&lt;span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t>
  </si>
  <si>
    <t>&lt;span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t>
  </si>
  <si>
    <t>&lt;span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t>
  </si>
  <si>
    <t>&lt;span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t>
  </si>
  <si>
    <t>&lt;span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t>
  </si>
  <si>
    <t>&lt;span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t>
  </si>
  <si>
    <t>&lt;span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t>
  </si>
  <si>
    <t>&lt;span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t>
  </si>
  <si>
    <t>&lt;span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t>
  </si>
  <si>
    <t>&lt;span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t>
  </si>
  <si>
    <t>&lt;span class="w"&gt;&lt;b&gt;【325.recall：〜を思い出す, 〜を呼び戻す】&lt;/b&gt;&lt;/span&gt;
&lt;span class="ml"&gt;近代英語に由来する語で、以下の2つの要素から成る。
&lt;span class="spacer"&gt;&lt;/span&gt;re（再び）
call（呼ぶ）
&lt;span class="spacer"&gt;&lt;/span&gt;「再び呼ぶ」から「呼び戻す」という意味になる。また記憶を呼び戻す、つまり「思い出す」という意味にもなる。&lt;/span&gt;</t>
  </si>
  <si>
    <t>&lt;span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t>
  </si>
  <si>
    <t>&lt;span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t>
  </si>
  <si>
    <t>&lt;span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t>
  </si>
  <si>
    <t>&lt;span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t>
  </si>
  <si>
    <t>&lt;span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t>
  </si>
  <si>
    <t>&lt;span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t>
  </si>
  <si>
    <t>&lt;span class="w"&gt;&lt;b&gt;【333.surround：周囲を囲む】&lt;/b&gt;&lt;/span&gt;
&lt;span class="ml"&gt;本来はラテン語unde（波）に由来するが、近代英語でround（円, 丸）と発音が似ていたことから「周囲を囲む」という意味になった。&lt;/span&gt;</t>
  </si>
  <si>
    <t>&lt;span class="w"&gt;&lt;b&gt;【334.flow：流れる, 生じる】&lt;/b&gt;&lt;/span&gt;
&lt;span class="ml"&gt;印欧祖語*pleu-（流れる, 流動する）に由来する。
&lt;span class="spacer"&gt;&lt;/span&gt;印欧祖語から意味の変化はほとんどない。&lt;/span&gt;</t>
  </si>
  <si>
    <t>&lt;span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</si>
  <si>
    <t>&lt;span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</si>
  <si>
    <t>&lt;span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t>
  </si>
  <si>
    <t>&lt;span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t>
  </si>
  <si>
    <t>&lt;span class="w"&gt;&lt;b&gt;【341.target：目標, 的】&lt;/b&gt;&lt;/span&gt;
&lt;span class="ml"&gt;古英語targe（盾）にさかのぼる。
&lt;span class="spacer"&gt;&lt;/span&gt;丸い盾から弓や射撃の的となり、さらに比喩的に何かの「目標, 的」という意味になる。
&lt;div class="sample_image target"&gt;&lt;/div&gt;&lt;/span&gt;</t>
  </si>
  <si>
    <t>&lt;span class="w"&gt;&lt;b&gt;【342.element：要素, 成分, 元素】&lt;/b&gt;&lt;/span&gt;
&lt;span class="ml"&gt;ラテン語elementum（初歩, 第一原理, 基本原理）に由来する。
&lt;span class="spacer"&gt;&lt;/span&gt;elementは「何かを構成する基本的なもの」というイメージ。
&lt;span class="spacer"&gt;&lt;/span&gt;古代のギリシャ人たちは「世界の根源は何か＝世界は何でできているのか」という問いについて考え、その答えとして水、空気、火、土など様々な要素を挙げた（四元素説）。
&lt;span class="spacer"&gt;&lt;/span&gt;これら4つの元素はギリシャ語でstoikheion（構成要素, 基本単位）と呼ばれ、この考え方に対応する語としてラテン語elementumが使われた。ここからelementは「要素, 成分, 元素」といった、何かを構成する基本的なものを意味する。&lt;/span&gt;</t>
  </si>
  <si>
    <t>&lt;span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t>
  </si>
  <si>
    <t>&lt;span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t>
  </si>
  <si>
    <t>&lt;span class="w"&gt;&lt;b&gt;【345.atmosphere：大気, 雰囲気】&lt;/b&gt;&lt;/span&gt;
&lt;span class="ml"&gt;ギリシャ語の要素から作られた語で、以下の2つの要素から成る。
&lt;div class="sample_image "&gt;&lt;/div&gt;atmos（蒸気）
sphere（球）
&lt;span class="spacer"&gt;&lt;/span&gt;このまま日本語にすると「蒸気の球体」となる。地球を取り巻く気体の覆いという発想から「大気」という意味になる。また周囲に漂う空気から「雰囲気」という意味になる。
&lt;div class="sample_image atmosphere"&gt;&lt;/div&gt;&lt;/span&gt;</t>
  </si>
  <si>
    <t>&lt;span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t>
  </si>
  <si>
    <t>&lt;span class="w"&gt;&lt;b&gt;【347.personality：個性, 性格】&lt;/b&gt;&lt;/span&gt;
&lt;span class="ml"&gt;ラテン語に由来する語で、以下の3つの要素から成る。
&lt;span class="spacer"&gt;&lt;/span&gt;persona（個人）
alis（形容詞化）
tas（名詞化）
&lt;span class="spacer"&gt;&lt;/span&gt;英語で考えると以下のような発展。
person
personal
personality
&lt;span class="spacer"&gt;&lt;/span&gt;個人に特有のもの＝「個性, 性格」という意味になる。&lt;/span&gt;</t>
  </si>
  <si>
    <t>&lt;span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t>
  </si>
  <si>
    <t>&lt;span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t>
  </si>
  <si>
    <t>&lt;span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t>
  </si>
  <si>
    <t>&lt;span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t>
  </si>
  <si>
    <t>&lt;span class="w"&gt;&lt;b&gt;【352.threat：脅威, 恐れ】&lt;/b&gt;&lt;/span&gt;
&lt;span class="ml"&gt;古英語þreat（多数, 圧迫, 脅威）にさかのぼる。
&lt;span class="spacer"&gt;&lt;/span&gt;大勢による圧迫や威圧というイメージから、何かによる「脅威, 恐れ」という意味になる。&lt;/span&gt;</t>
  </si>
  <si>
    <t>&lt;span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t>
  </si>
  <si>
    <t>&lt;span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t>
  </si>
  <si>
    <t>&lt;span class="w"&gt;&lt;b&gt;【356.authority：権威, 権限, （the authorities）当局】&lt;/b&gt;&lt;/span&gt;
&lt;span class="ml"&gt;ラテン語に由来する語で、以下の3つの要素から成る。
&lt;span class="spacer"&gt;&lt;/span&gt;augere（増やす, 成長させる）
or（〜する人）
tas（名詞化）
&lt;span class="spacer"&gt;&lt;/span&gt;「物事を成長させる人」というのは、他者への影響力を持つ。この影響力は人を動かしたり、何かを決定したりする力。ここから人に影響を与える「権威」や、何かを決める「権限」という意味になる。またそういった権威や権限を持つ組織（the authorities）は「当局」となる。
&lt;div class="sample_image authority"&gt;&lt;/div&gt;&lt;/span&gt;</t>
  </si>
  <si>
    <t>&lt;span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t>
  </si>
  <si>
    <t>&lt;span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t>
  </si>
  <si>
    <t>&lt;span class="w"&gt;&lt;b&gt;【359.campaign：軍事行動, ◯◯運動（キャンペーン）】&lt;/b&gt;&lt;/span&gt;
&lt;span class="ml"&gt;ラテン語に由来する語で、以下の2つの要素から成る。
&lt;span class="spacer"&gt;&lt;/span&gt;campus（平野）
ia（名詞化）
&lt;span class="spacer"&gt;&lt;/span&gt;古くは、軍は冬を駐屯地で過ごし、夏に野外で戦うことが多かったことから「軍事行動」という意味に結びついた。そして、そこからさらに意味が広がり、目的を達成するための継続的な活動、特に政治や商業での組織的な活動＝「◯◯運動, キャンペーン」という意味になった。
&lt;span class="spacer"&gt;&lt;/span&gt;ラテン語campus（平野）はキャンプ（camp）の語源でもある。campはもともと軍が野営する開けた場所を意味した。&lt;/span&gt;</t>
  </si>
  <si>
    <t>&lt;span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t>
  </si>
  <si>
    <t>&lt;span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t>
  </si>
  <si>
    <t>&lt;span class="w"&gt;&lt;b&gt;【362.symbol：象徴, シンボル】&lt;/b&gt;&lt;/span&gt;
&lt;span class="ml"&gt;ギリシャ語に由来する語で、以下の2つの要素から成る。
&lt;span class="spacer"&gt;&lt;/span&gt;syn（共に）
ballein（投げる）
&lt;span class="spacer"&gt;&lt;/span&gt;これをそのまま日本語にすると「（物を）一緒に投げる」となる。もともとは、物を2つに割って2人で分け、片割れを持つ者同士がその破片を突き合わせて一致するかを確かめるための「しるし」を意味した。そこから、あるものを別のものと結びつけて表す「象徴」という意味になった。&lt;/span&gt;</t>
  </si>
  <si>
    <t>&lt;span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t>
  </si>
  <si>
    <t>&lt;span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t>
  </si>
  <si>
    <t>&lt;span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t>
  </si>
  <si>
    <t>&lt;span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t>
  </si>
  <si>
    <t>&lt;span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t>
  </si>
  <si>
    <t>&lt;span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t>
  </si>
  <si>
    <t>&lt;span class="w"&gt;&lt;b&gt;【369.psychology：心理学】&lt;/b&gt;&lt;/span&gt;
&lt;span class="ml"&gt;ギリシャ語に由来する語で、以下の2つの要素から成る。
&lt;span class="spacer"&gt;&lt;/span&gt;psykhē（呼吸, 霊, 心, 魂）
logia（学問, 研究）
&lt;span class="spacer"&gt;&lt;/span&gt;logy部分は「学問」を表す。
&lt;span class="spacer"&gt;&lt;/span&gt;psycho部分のもとであるギリシャ語psykhēは、古代の人々の「呼吸＝生命の根源」という考えにもとづき、「呼吸」から「魂」や「心」という意味になる。
&lt;span class="obsolete"&gt;ラテン語由来のspirit（精神）, inspire（鼓舞する）, expire（期限が切れる, 死ぬ）もspi部分が「息」を意味し、生命と関わる語となっている。&lt;/span&gt;&lt;/span&gt;
&lt;span class="spacer"&gt;&lt;/span&gt;このpsykhē（心）とlogia（学問, 研究）が合わさることで、心の学問＝「心理学」という意味になる。</t>
  </si>
  <si>
    <t>&lt;span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t>
  </si>
  <si>
    <t>&lt;span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t>
  </si>
  <si>
    <t>&lt;span class="w"&gt;&lt;b&gt;【372.court：裁判所, 法廷, 宮廷, 中庭, スポーツのコート】&lt;/b&gt;&lt;/span&gt;
&lt;span class="ml"&gt;ラテン語に由来する語で、以下の2つの要素から成る。
&lt;span class="spacer"&gt;&lt;/span&gt;com（共に）
hortus（庭, 囲われた土地）
&lt;span class="spacer"&gt;&lt;/span&gt;もともとは四方を囲われた土地、つまり「中庭」を意味した。王や領主が、城や邸宅の中庭に人々を集め、相談を受けたり裁判を開いたりしたことから「宮廷」や「法廷, 裁判所」という意味になった。また「スポーツのコート」という意味は四方を囲われた土地という元の意味による。&lt;/span&gt;</t>
  </si>
  <si>
    <t>&lt;span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t>
  </si>
  <si>
    <t>&lt;span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t>
  </si>
  <si>
    <t>&lt;span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t>
  </si>
  <si>
    <t>&lt;span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t>
  </si>
  <si>
    <t>&lt;span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t>
  </si>
  <si>
    <t>&lt;span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t>
  </si>
  <si>
    <t>&lt;span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t>
  </si>
  <si>
    <t>&lt;span class="w"&gt;&lt;b&gt;【380.conscious：気づいて, 意識して】&lt;/b&gt;&lt;/span&gt;
&lt;span class="ml"&gt;ラテン語に由来する語で、以下の3つの要素から成る。
&lt;span class="spacer"&gt;&lt;/span&gt;com（共に）
scire（知る）
us（形容詞化）
&lt;span class="spacer"&gt;&lt;/span&gt;このまま日本語にすると「共に知っている」となる。これは「他人と共に知る」ということではなく、自分の内側にいるもう1人の自分（意識）と共に知るということ。ここから何かを「意識している, 気づいている」という意味になる。
&lt;span class="spacer"&gt;&lt;/span&gt;同じラテン語から生まれた語にconscince（良心）がある。これは、自分の行いが善か悪かを内なる自分は知っているから正しい行動を取ろうとする心を意味する。&lt;/span&gt;</t>
    <rPh sb="245" eb="247">
      <t>イシキ</t>
    </rPh>
    <phoneticPr fontId="1"/>
  </si>
  <si>
    <t>&lt;span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t>
  </si>
  <si>
    <t>&lt;span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t>
  </si>
  <si>
    <t>&lt;span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t>
  </si>
  <si>
    <t>&lt;span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t>
  </si>
  <si>
    <t>&lt;span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t>
  </si>
  <si>
    <t>&lt;span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t>
  </si>
  <si>
    <t>&lt;span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t>
  </si>
  <si>
    <t>&lt;span class="w"&gt;&lt;b&gt;【388.military：軍の, 軍事の】&lt;/b&gt;&lt;/span&gt;
&lt;span class="ml"&gt;ラテン語に由来する語で、以下の2つの要素から成る。
&lt;span class="spacer"&gt;&lt;/span&gt;miles（兵士）
aris（形容詞化）
&lt;span class="spacer"&gt;&lt;/span&gt;ここから兵士に関する、つまり「軍の, 軍事の」という意味になる。&lt;/span&gt;</t>
  </si>
  <si>
    <t>&lt;span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t>
  </si>
  <si>
    <t>&lt;span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t>
  </si>
  <si>
    <t>&lt;span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t>
  </si>
  <si>
    <t>&lt;span class="w"&gt;&lt;b&gt;【392.severe：（人・規律・事態・天候が）厳しい】&lt;/b&gt;&lt;/span&gt;
&lt;span class="ml"&gt;ラテン語severus（厳格な,  厳しい）
&lt;span class="spacer"&gt;&lt;/span&gt;「厳格な,  厳しい」からルールが厳しい、行動や規律に厳しい、天候が厳しいといったように「厳しい」の使い方が広がった。&lt;/span&gt;</t>
    <rPh sb="95" eb="96">
      <t>キビ</t>
    </rPh>
    <phoneticPr fontId="1"/>
  </si>
  <si>
    <t>&lt;span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t>
  </si>
  <si>
    <t>&lt;span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t>
  </si>
  <si>
    <t>&lt;span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t>
  </si>
  <si>
    <t>&lt;span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t>
  </si>
  <si>
    <t>&lt;span class="w"&gt;&lt;b&gt;【397.mass：大規模な, 大量の, 大衆の】&lt;/b&gt;&lt;/span&gt;
&lt;span class="ml"&gt;ラテン語のmassa（こねた生地, 塊）に由来する。
&lt;span class="spacer"&gt;&lt;/span&gt;粉がまとまってできた生地の「塊」というイメージから、多くのものが一つに集まった状態を表し、「大量の, 大規模な, 大衆の」という意味になる。&lt;/span&gt;</t>
  </si>
  <si>
    <t>&lt;span class="w"&gt;&lt;b&gt;【398.typical：典型的な】&lt;/b&gt;&lt;/span&gt;
&lt;span class="ml"&gt;ギリシャ語に由来する語で、以下の2つの要素から成る。
&lt;span class="spacer"&gt;&lt;/span&gt;typos（型, タイプ）
ikos（形容詞化）
&lt;span class="spacer"&gt;&lt;/span&gt;型から形容詞となり、何かの型をよく表しているものを指し、「典型的な」という意味になる。&lt;/span&gt;</t>
    <rPh sb="140" eb="144">
      <t>ケイヨウシカ</t>
    </rPh>
    <rPh sb="174" eb="175">
      <t>カタ</t>
    </rPh>
    <rPh sb="177" eb="180">
      <t>ケイヨウシ</t>
    </rPh>
    <rPh sb="184" eb="185">
      <t>ナニ</t>
    </rPh>
    <rPh sb="211" eb="213">
      <t>イミ</t>
    </rPh>
    <phoneticPr fontId="1"/>
  </si>
  <si>
    <t>&lt;span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t>
    <rPh sb="77" eb="81">
      <t>キンダイエイゴ</t>
    </rPh>
    <rPh sb="181" eb="184">
      <t>ニホンゴ</t>
    </rPh>
    <rPh sb="212" eb="214">
      <t>イミ</t>
    </rPh>
    <phoneticPr fontId="1"/>
  </si>
  <si>
    <t>&lt;span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t>
  </si>
  <si>
    <t>&lt;span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t>
  </si>
  <si>
    <t>&lt;span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t>
  </si>
  <si>
    <t>&lt;span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t>
  </si>
  <si>
    <t>&lt;span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t>
  </si>
  <si>
    <t>&lt;span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t>
  </si>
  <si>
    <t>&lt;span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t>
  </si>
  <si>
    <t>&lt;span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t>
  </si>
  <si>
    <t>&lt;span class="w"&gt;&lt;b&gt;【409.amaze：〜をびっくりさせる】&lt;/b&gt;&lt;/span&gt;
&lt;span class="ml"&gt;古英語amasod（呆然とした）にさかのぼる語。a（強意）と*mæs（迷宮）から成ると考えられる。
&lt;span class="spacer"&gt;&lt;/span&gt;人を迷宮に入れたような状態にすることから、相手をどうしたらよいかわからなくするイメージ。そこから驚きや衝撃で頭を混乱させることを表し、「びっくりさせる」という意味になる。&lt;/span&gt;</t>
  </si>
  <si>
    <t>&lt;span class="w"&gt;&lt;b&gt;【412.afford：〜する余裕がある】&lt;/b&gt;&lt;/span&gt;
&lt;span class="ml"&gt;古英語にさかのぼり、以下の2つの要素から成る。
&lt;span class="spacer"&gt;&lt;/span&gt;ge（完了）
forð（前へ：forthの語源）から派生した動詞forðian（前進させる）
&lt;span class="spacer"&gt;&lt;/span&gt;このまま日本語にすると「前へ進むことを完了する」となる。これは物事を前へ進めて実現するイメージ。そこから何かを実現するための費用や労力をもっていることを表し、「〜する余裕がある」という意味になった。&lt;/span&gt;</t>
  </si>
  <si>
    <t>&lt;span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t>
  </si>
  <si>
    <t>&lt;span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t>
  </si>
  <si>
    <t>&lt;span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t>
  </si>
  <si>
    <t>&lt;span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t>
  </si>
  <si>
    <t>&lt;span class="w"&gt;&lt;b&gt;【417.locate：（受け身で）位置する】&lt;/b&gt;&lt;/span&gt;
&lt;span class="ml"&gt;ラテン語locare（置く）に由来する。
&lt;span class="spacer"&gt;&lt;/span&gt;Aをある場所に置くということは、受け身になると、Aはある場所に「位置する」という意味になる。&lt;/span&gt;</t>
  </si>
  <si>
    <t>&lt;span class="w"&gt;&lt;b&gt;【418.aid：〜を援助する, 助ける】&lt;/b&gt;&lt;/span&gt;
&lt;span class="ml"&gt;ラテン語に由来する語で、以下の2つの要素から成る。
&lt;span class="spacer"&gt;&lt;/span&gt;ad（〜へ）
iuvare（助ける, 援助する）
&lt;span class="spacer"&gt;&lt;/span&gt;&lt;/span&gt;</t>
  </si>
  <si>
    <t>&lt;span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t>
  </si>
  <si>
    <t>&lt;span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t>
  </si>
  <si>
    <t>&lt;span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t>
  </si>
  <si>
    <t>&lt;span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t>
  </si>
  <si>
    <t>&lt;span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t>
  </si>
  <si>
    <t>&lt;span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t>
  </si>
  <si>
    <t>&lt;span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t>
  </si>
  <si>
    <t>&lt;span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t>
  </si>
  <si>
    <t>&lt;span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t>
  </si>
  <si>
    <t>&lt;span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t>
  </si>
  <si>
    <t>&lt;span class="w"&gt;&lt;b&gt;【429.rank：〜を評価する, 〜を位置づける】&lt;/b&gt;&lt;/span&gt;
&lt;span class="ml"&gt;古フランス語ranc（列, 並び）に由来する。
&lt;span class="spacer"&gt;&lt;/span&gt;この語の核は、物事を列に並べること。そこから、順序をつけて位置を決めることを表し、「評価する, 位置づける」という意味になる。&lt;/span&gt;</t>
  </si>
  <si>
    <t>&lt;span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t>
  </si>
  <si>
    <t>&lt;span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t>
  </si>
  <si>
    <t>&lt;span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t>
  </si>
  <si>
    <t>&lt;span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t>
  </si>
  <si>
    <t>&lt;span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t>
  </si>
  <si>
    <t>&lt;span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t>
  </si>
  <si>
    <t>&lt;span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t>
  </si>
  <si>
    <t>&lt;span class="w"&gt;&lt;b&gt;【437.spell：（単語）を綴る】&lt;/b&gt;&lt;/span&gt;
&lt;span class="ml"&gt;古フランス語espelir（意味する, 説明する, 文字をつづる）に由来する。
&lt;span class="spacer"&gt;&lt;/span&gt;古フランス語から意味の変化はほとんどない。&lt;/span&gt;</t>
  </si>
  <si>
    <t>&lt;span class="w"&gt;&lt;b&gt;【438.breathe：呼吸する】&lt;/b&gt;&lt;/span&gt;
&lt;span class="ml"&gt;古英語bræð（息：breathの語源）にさかのぼる。
&lt;span class="spacer"&gt;&lt;/span&gt;breath（息）からbreathe（呼吸する）と覚えれば良い。&lt;/span&gt;</t>
  </si>
  <si>
    <t>&lt;span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t>
  </si>
  <si>
    <t>&lt;span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t>
  </si>
  <si>
    <t>&lt;span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t>
  </si>
  <si>
    <t>&lt;span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t>
  </si>
  <si>
    <t>&lt;span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t>
  </si>
  <si>
    <t>&lt;span class="w"&gt;&lt;b&gt;【445.laboratory：研究室, 実験室】&lt;/b&gt;&lt;/span&gt;
&lt;span class="ml"&gt;ラテン語に由来する語で、以下の2つの要素から成る。
&lt;span class="spacer"&gt;&lt;/span&gt;labor（労働）から派生した動詞laborare（働く）
orium（〜する場所）
&lt;span class="spacer"&gt;&lt;/span&gt;このまま日本語にすると「働く場所」となる。労働や作業のための場所から、特に科学実験のための部屋や建物を指すようになり、「実験室, 研究室」という意味になる。&lt;/span&gt;</t>
  </si>
  <si>
    <t>&lt;span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t>
  </si>
  <si>
    <t>&lt;span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t>
  </si>
  <si>
    <t>&lt;span class="w"&gt;&lt;b&gt;【448.harm：害, 悪影響】&lt;/b&gt;&lt;/span&gt;
&lt;span class="ml"&gt;古英語hearm（傷, 痛み, 害, 悪）にさかのぼる。
&lt;span class="spacer"&gt;&lt;/span&gt;傷や痛みという直接的な感覚から、そこから広がる「害, 悪影響」という意味になる。&lt;/span&gt;</t>
  </si>
  <si>
    <t>&lt;span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t>
  </si>
  <si>
    <t>&lt;span class="w"&gt;&lt;b&gt;【450.category：区分, 分類, 範疇, カテゴリー】&lt;/b&gt;&lt;/span&gt;
&lt;span class="ml"&gt;ギリシャ語に由来する語で、以下の2つの要素から成る。
&lt;span class="spacer"&gt;&lt;/span&gt;kata（下へ, 反対に）
agora（公共の集会, 広場）から派生した動詞agoreuein（公の場で演説する）
&lt;span class="spacer"&gt;&lt;/span&gt;もともとは「公共の場所（広場）での演説」、特に「告発」や「非難」を意味する言葉だった。この「ある対象に対して『Xは〜である』と公言する」というニュアンスを持つkatēgoriaを、アリストテレスは論理学において「主語に対する述語づけ（XはYであると語る）」を表す専門用語として採用した。
&lt;span class="spacer"&gt;&lt;/span&gt;そこからkatēgoriaは、アリストテレスが主語を説明するために用いた「実体・量・質・関係」など10個の基本的な枠組み（範疇）を指す言葉となり、それが一般化して現代の「区分、分類、カテゴリー」という意味になった。&lt;/span&gt;</t>
  </si>
  <si>
    <t>&lt;span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t>
  </si>
  <si>
    <t>&lt;span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t>
  </si>
  <si>
    <t>&lt;span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t>
  </si>
  <si>
    <t>&lt;span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t>
  </si>
  <si>
    <t>&lt;span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t>
  </si>
  <si>
    <t>&lt;span class="w"&gt;&lt;b&gt;【457.victim：犠牲, 被害者】&lt;/b&gt;&lt;/span&gt;
&lt;span class="ml"&gt;ラテン語victima（神に捧げる生贄としての動物や人）に由来する。
&lt;span class="spacer"&gt;&lt;/span&gt;もともとは、宗教的な意味で神に捧げられる犠牲や生贄を表した。しだいに宗教的な意味から、暴力的・社会的・心理的な被害へと発展し、他者によって傷つけられる・災害によって被害を受けるという「犠牲（者）, 被害者」という意味になった。&lt;/span&gt;</t>
  </si>
  <si>
    <t>&lt;span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t>
  </si>
  <si>
    <t>&lt;span class="w"&gt;&lt;b&gt;【460.stock：在庫品, 蓄え, 株】&lt;/b&gt;&lt;/span&gt;
&lt;span class="ml"&gt;古英語stocc（木の幹, 切り株）にさかのぼる。
&lt;span class="spacer"&gt;&lt;/span&gt;木の幹は植物の中心であり、そこから成長して広がっていくことから、何かの「もとになるもの, 蓄え」というイメージになる。そこから「蓄え」という意味になる。
&lt;span class="spacer"&gt;&lt;/span&gt;また、商人が持つ商品としての蓄えから「在庫品」、さらに事業のもととなる資本や元手から「株」という意味にもなった。</t>
  </si>
  <si>
    <t>&lt;span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t>
  </si>
  <si>
    <t>&lt;span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t>
  </si>
  <si>
    <t>&lt;span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t>
  </si>
  <si>
    <t>&lt;span class="w"&gt;&lt;b&gt;【465.tip：助言, 秘訣, チップ, 先端】&lt;/b&gt;&lt;/span&gt;
&lt;span class="ml"&gt;中英語tippe（尖ったもの）やtippen（軽く叩く）から発展した可能性があるが、この語に関する正確な語源はわかっていない。
&lt;span class="spacer"&gt;&lt;/span&gt;「尖ったもの」からは「先端」という意味が生まれている。
&lt;span class="spacer"&gt;&lt;/span&gt;また「軽く叩く」からは、何かを軽く触れて渡す・与えるへと発展し、サービスに対して金銭を渡す「チップ」という意味になったと考えられている。
&lt;span class="spacer"&gt;&lt;/span&gt;さらに「軽く与える」というニュアンスから、内密の情報をこっそり与えるという意味が生まれ、これが「助言, 秘訣」という意味になったと考えられる。&lt;/span&gt;</t>
  </si>
  <si>
    <t>&lt;span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t>
  </si>
  <si>
    <t>&lt;span class="w"&gt;&lt;b&gt;【467.stuff：もの, 素材（不可算名詞）】&lt;/b&gt;&lt;/span&gt;
&lt;span class="ml"&gt;古フランス語estoffe（キルティング素材,  材料, 装備）に由来する。
&lt;span class="spacer"&gt;&lt;span&gt;もともとは、衣服やクッションを作る際の詰め物や布地（素材）を表した。そこから意味が広がり、布地に限らず、何かを作るためのさまざまな「素材」を表すようになる。さらに抽象化して、いちいち名前を特定せずに「もの」一般を意味するようになった。
&lt;div class="sample_image stuff"&gt;&lt;/div&gt;&lt;/span&gt;</t>
  </si>
  <si>
    <t>&lt;span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t>
  </si>
  <si>
    <t>&lt;span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t>
  </si>
  <si>
    <t>&lt;span class="w"&gt;&lt;b&gt;【470.mammal：哺乳類】&lt;/b&gt;&lt;/span&gt;
&lt;span class="ml"&gt;ラテン語mamma（胸）に由来する。
&lt;span class="spacer"&gt;&lt;/span&gt;mammalは、このラテン語をもとに1758年に博物学者リンネ（＝分類学の父）が造語したもの。授乳によって子を育てる動物を指す言葉で、そこから「哺乳類」という意味になる。&lt;/span&gt;</t>
  </si>
  <si>
    <t>&lt;span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t>
  </si>
  <si>
    <t>&lt;span class="w"&gt;&lt;b&gt;【472.landscape：風景, 状況】&lt;/b&gt;&lt;/span&gt;
&lt;span class="ml"&gt;中世オランダ語に由来する語で、以下の2つの要素から成る。
&lt;span class="spacer"&gt;&lt;/span&gt;land（土地）
scap（〜の状態）
&lt;span class="spacer"&gt;&lt;/span&gt;このまま日本語にすると「土地の状態」となる。もともとは美術用語で風景画を表したが、美術用語から意味が一般化して「風景」や「状況」という意味になった。&lt;/span&gt;</t>
  </si>
  <si>
    <t>&lt;span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t>
  </si>
  <si>
    <t>&lt;span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t>
  </si>
  <si>
    <t>&lt;span class="w"&gt;&lt;b&gt;【475.trial：試み, （品質, 性能の）試験, 裁判, 試用期間】&lt;/b&gt;&lt;/span&gt;
&lt;span class="ml"&gt;古フランス語trier（試す：tryの語源）に由来する。
&lt;span class="spacer"&gt;&lt;/span&gt;動詞「試す」から名詞「試すこと, 試み」になった。有罪か無罪かを試すことなら「裁判」という意味に、品質や性能を試すことなら「品質や性能の試験」という意味になる。&lt;/span&gt;</t>
  </si>
  <si>
    <t>&lt;span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t>
  </si>
  <si>
    <t>&lt;span class="w"&gt;&lt;b&gt;【477.code：規範, 暗号, 法典】&lt;/b&gt;&lt;/span&gt;
&lt;span class="ml"&gt;ラテン語caudex（木の板に蝋を流して作った本）に由来する。
&lt;span class="spacer"&gt;&lt;/span&gt;語源はラテン語で、もともとは「木製の書物（木の板に蝋を流して束ねた本）」を表す言葉だった。
&lt;span class="spacer"&gt;&lt;/span&gt;古代ローマなどで、この形式の書物に膨大な法律が体系的にまとめられたため、やがて本そのものを「法典」と呼ぶようになる。そこから「ルールを体系的にまとめたもの」という核となるイメージが定着し、社会の「規範」や、情報を特定の規則で変換する「暗号」、さらにはコンピュータの「プログラムコード」といった意味へと発展していった。
&lt;div class="sample_image code"&gt;&lt;/div&gt;&lt;/span&gt;</t>
  </si>
  <si>
    <t>&lt;span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t>
  </si>
  <si>
    <t>&lt;span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t>
  </si>
  <si>
    <t>&lt;span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t>
  </si>
  <si>
    <t>&lt;span class="w"&gt;&lt;b&gt;【481.narrow：狭い, 細い, 限られた】&lt;/b&gt;&lt;/span&gt;
&lt;span class="ml"&gt;古英語nearu（幅が狭い, 制限された, 心の狭い, 圧迫的な, 厳格な）にさかのぼる。
&lt;span class="spacer"&gt;&lt;/span&gt;物理的な「狭い」という意味から、視野や心が狭い、範囲や可能性などが「限られた」という意味にもなった。&lt;/span&gt;</t>
  </si>
  <si>
    <t>&lt;span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t>
  </si>
  <si>
    <t>&lt;span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t>
  </si>
  <si>
    <t>&lt;span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t>
  </si>
  <si>
    <t>&lt;span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t>
  </si>
  <si>
    <t>&lt;span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t>
  </si>
  <si>
    <t>&lt;span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t>
  </si>
  <si>
    <t>&lt;span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t>
  </si>
  <si>
    <t>&lt;span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</si>
  <si>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&lt;span class="w"&gt;&lt;b&gt;【491.odd：奇妙な, 奇数の】&lt;/b&gt;&lt;/span&gt;
&lt;span class="ml"&gt;古ノルド語oddi（陸地の先端, 角, 三角形, 3番目, ペアにならない余分な数）に由来する。
&lt;span class="spacer"&gt;&lt;/span&gt;もともとは、陸地の突き出た先端や三角形のように、3つ目の角がポツンとはみ出した部分を表した。そこから、ペアにしたときに1つ余る「奇数の」という意味になる。そして、ペアにならずに浮いていることから「奇妙な」という意味になる。&lt;/span&gt;</t>
  </si>
  <si>
    <t>&lt;span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t>
  </si>
  <si>
    <t>&lt;span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t>
  </si>
  <si>
    <t>&lt;span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t>
  </si>
  <si>
    <t>&lt;span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t>
  </si>
  <si>
    <t>&lt;span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t>
  </si>
  <si>
    <t>&lt;span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t>
    <rPh sb="110" eb="114">
      <t>ゲンダイエイゴ</t>
    </rPh>
    <rPh sb="168" eb="170">
      <t>テイド</t>
    </rPh>
    <rPh sb="276" eb="277">
      <t>ヒロ</t>
    </rPh>
    <rPh sb="278" eb="279">
      <t>ツカ</t>
    </rPh>
    <phoneticPr fontId="1"/>
  </si>
  <si>
    <t>&lt;span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t>
  </si>
  <si>
    <t>&lt;span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t>
  </si>
  <si>
    <t>&lt;span class="w"&gt;&lt;b&gt;【503.concentrate：（on）〜に集中する】&lt;/b&gt;&lt;/span&gt;
&lt;span class="ml"&gt;ラテン語に由来する語で、以下の2つの要素から成る。
&lt;span class="spacer"&gt;&lt;/span&gt;con（共に）
centrum（中心：centerの語源）
&lt;span class="spacer"&gt;&lt;/span&gt;このまま日本語にすると「共通の中心へ」となる。中心へ集めることから「集中する」という意味になる。&lt;/span&gt;</t>
  </si>
  <si>
    <t>&lt;span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t>
  </si>
  <si>
    <t>&lt;span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t>
  </si>
  <si>
    <t>&lt;span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t>
  </si>
  <si>
    <t>&lt;span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t>
  </si>
  <si>
    <t>&lt;span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t>
  </si>
  <si>
    <t>&lt;span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t>
  </si>
  <si>
    <t>&lt;span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t>
  </si>
  <si>
    <t>&lt;span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t>
  </si>
  <si>
    <t>&lt;span class="w"&gt;&lt;b&gt;【512.freeze：凍る, 〜を凍らせる】&lt;/b&gt;&lt;/span&gt;
&lt;span class="ml"&gt;古英語freosan（氷になる）にさかのぼる。
&lt;span class="spacer"&gt;&lt;/span&gt;「氷になる」から「凍る, 凍らせる」という意味になる。&lt;/span&gt;</t>
  </si>
  <si>
    <t>&lt;span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t>
  </si>
  <si>
    <t>&lt;span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t>
  </si>
  <si>
    <t>&lt;span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t>
  </si>
  <si>
    <t>&lt;span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t>
  </si>
  <si>
    <t>&lt;span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t>
  </si>
  <si>
    <t>&lt;span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t>
  </si>
  <si>
    <t>&lt;span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t>
  </si>
  <si>
    <t>&lt;span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t>
  </si>
  <si>
    <t>&lt;span class="w"&gt;&lt;b&gt;【521.arise：生じる】&lt;/b&gt;&lt;/span&gt;
&lt;span class="ml"&gt;古英語にさかのぼり、以下の2つの要素から成る。
&lt;span class="spacer"&gt;&lt;/span&gt;a（〜から）
risan（上がる：riseの語源）
&lt;span class="spacer"&gt;&lt;/span&gt;このまま日本語にすると「〜から上がる」となる。もともとは下から上方向の物理的な動きを表したが、そこから比喩的に何かが「生じる, 発生する」という意味になった。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</si>
  <si>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t>
  </si>
  <si>
    <t>&lt;span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t>
  </si>
  <si>
    <t>&lt;span class="w"&gt;&lt;b&gt;【525.absorb：〜を吸収する, 〜を夢中にさせる】&lt;/b&gt;&lt;/span&gt;
&lt;span class="ml"&gt;ラテン語に由来する語で、以下の2つの要素から成る。
&lt;span class="spacer"&gt;&lt;/span&gt;ab（離れて）
sorbere（吸い込む）
&lt;span class="spacer"&gt;&lt;/span&gt;このまま日本語にすると「（元の場所から）離して吸い込む」となる。対象を吸い込んで自分のものにすることから「吸収する」という意味になる。また比喩的に、何かが人の注意を吸い込むことから、人を「夢中にさせる」という意味にもなる。
&lt;div class="sample_image absorb"&gt;&lt;/div&gt;&lt;/span&gt;</t>
  </si>
  <si>
    <t>&lt;span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t>
  </si>
  <si>
    <t>&lt;span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t>
  </si>
  <si>
    <t>&lt;span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t>
  </si>
  <si>
    <t>&lt;span class="w"&gt;&lt;b&gt;【530.hang：〜を掛ける, 〜を絞首刑にする】&lt;/b&gt;&lt;/span&gt;
&lt;span class="ml"&gt;古英語hon（吊るす）とhangian（吊るされている）にさかのぼる。
&lt;span class="spacer"&gt;&lt;/span&gt;吊るすことから「掛ける, 絞首刑にする」という意味になる。&lt;/span&gt;</t>
  </si>
  <si>
    <t>&lt;span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t>
    <rPh sb="155" eb="157">
      <t>イミ</t>
    </rPh>
    <rPh sb="161" eb="163">
      <t>アイテ</t>
    </rPh>
    <rPh sb="164" eb="165">
      <t>ワル</t>
    </rPh>
    <rPh sb="166" eb="168">
      <t>コトバ</t>
    </rPh>
    <rPh sb="169" eb="170">
      <t>ム</t>
    </rPh>
    <rPh sb="182" eb="184">
      <t>ゲンイン</t>
    </rPh>
    <rPh sb="197" eb="199">
      <t>ヘンカ</t>
    </rPh>
    <phoneticPr fontId="1"/>
  </si>
  <si>
    <t>&lt;span class="w"&gt;&lt;b&gt;【533.fascinate：〜を魅了する】&lt;/b&gt;&lt;/span&gt;
&lt;span class="ml"&gt;ラテン語fascinare（魔法をかける, 魅了する）に由来する。
&lt;span class="spacer"&gt;&lt;/span&gt;英語ではもともと、魔法で相手を動けなくすることを表した。そこから比喩的に、相手の注意や関心を完全にとらえて引きつける、つまり「魅了する」という意味になった。&lt;/span&gt;</t>
  </si>
  <si>
    <t>&lt;span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t>
    <rPh sb="95" eb="97">
      <t>カンレン</t>
    </rPh>
    <rPh sb="187" eb="188">
      <t>ナニ</t>
    </rPh>
    <rPh sb="197" eb="198">
      <t>モト</t>
    </rPh>
    <rPh sb="199" eb="201">
      <t>ジョウタイ</t>
    </rPh>
    <rPh sb="211" eb="213">
      <t>イミ</t>
    </rPh>
    <phoneticPr fontId="1"/>
  </si>
  <si>
    <t>&lt;span class="w"&gt;&lt;b&gt;【535.celebrate：〜を祝う】&lt;/b&gt;&lt;/span&gt;
&lt;span class="ml"&gt;ラテン語celeber（人の多い, 有名な）から派生したcelebrare（大勢で集まる, 祭典などを執り行う）に由来する。
&lt;span class="spacer"&gt;&lt;/span&gt;この語の核は「人が多く集まる」こと。もともとは、多くの人が集まって宗教的な儀式や公的な行事を行うことを指した。そこから、特に喜ばしいことで人が集まって「祝う」という意味になった。
&lt;span class="spacer"&gt;&lt;/span&gt;有名人を意味するcelebrityも同じ語源にさかのぼる。人が多く集まるということは、多くの人に知られている「有名人」というイメージ。&lt;/span&gt;</t>
    <rPh sb="92" eb="94">
      <t>ハセイ</t>
    </rPh>
    <rPh sb="125" eb="127">
      <t>ユライ</t>
    </rPh>
    <rPh sb="161" eb="162">
      <t>ゴ</t>
    </rPh>
    <rPh sb="163" eb="164">
      <t>カク</t>
    </rPh>
    <rPh sb="166" eb="167">
      <t>ヒト</t>
    </rPh>
    <rPh sb="168" eb="169">
      <t>オオ</t>
    </rPh>
    <rPh sb="170" eb="171">
      <t>アツ</t>
    </rPh>
    <rPh sb="183" eb="184">
      <t>オオ</t>
    </rPh>
    <rPh sb="186" eb="187">
      <t>ヒト</t>
    </rPh>
    <rPh sb="188" eb="189">
      <t>アツ</t>
    </rPh>
    <rPh sb="192" eb="195">
      <t>シュウキョウテキ</t>
    </rPh>
    <rPh sb="196" eb="198">
      <t>ギシキ</t>
    </rPh>
    <rPh sb="199" eb="201">
      <t>コウテキ</t>
    </rPh>
    <rPh sb="202" eb="204">
      <t>ギョウジ</t>
    </rPh>
    <rPh sb="205" eb="206">
      <t>オコナ</t>
    </rPh>
    <rPh sb="210" eb="211">
      <t>サ</t>
    </rPh>
    <rPh sb="219" eb="220">
      <t>トク</t>
    </rPh>
    <rPh sb="221" eb="222">
      <t>ヨロコ</t>
    </rPh>
    <rPh sb="228" eb="229">
      <t>ヒト</t>
    </rPh>
    <rPh sb="230" eb="231">
      <t>アツ</t>
    </rPh>
    <rPh sb="241" eb="243">
      <t>イミ</t>
    </rPh>
    <rPh sb="277" eb="280">
      <t>ユウメイジン</t>
    </rPh>
    <rPh sb="281" eb="283">
      <t>イミ</t>
    </rPh>
    <rPh sb="295" eb="296">
      <t>オナ</t>
    </rPh>
    <rPh sb="297" eb="299">
      <t>ゴゲン</t>
    </rPh>
    <rPh sb="306" eb="307">
      <t>ヒト</t>
    </rPh>
    <rPh sb="308" eb="309">
      <t>オオ</t>
    </rPh>
    <rPh sb="310" eb="311">
      <t>アツ</t>
    </rPh>
    <rPh sb="320" eb="321">
      <t>オオ</t>
    </rPh>
    <rPh sb="323" eb="324">
      <t>ヒト</t>
    </rPh>
    <rPh sb="325" eb="326">
      <t>シ</t>
    </rPh>
    <rPh sb="332" eb="334">
      <t>ユウメイ</t>
    </rPh>
    <rPh sb="334" eb="335">
      <t>ヒト</t>
    </rPh>
    <phoneticPr fontId="1"/>
  </si>
  <si>
    <t>&lt;span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t>
    <rPh sb="188" eb="191">
      <t>ニホンゴ</t>
    </rPh>
    <rPh sb="210" eb="213">
      <t>テサギョウ</t>
    </rPh>
    <rPh sb="214" eb="215">
      <t>ツク</t>
    </rPh>
    <rPh sb="219" eb="220">
      <t>アラワ</t>
    </rPh>
    <rPh sb="224" eb="227">
      <t>コウギョウカ</t>
    </rPh>
    <rPh sb="228" eb="229">
      <t>スス</t>
    </rPh>
    <rPh sb="230" eb="231">
      <t>ナカ</t>
    </rPh>
    <rPh sb="251" eb="253">
      <t>イミ</t>
    </rPh>
    <rPh sb="272" eb="274">
      <t>ハッテン</t>
    </rPh>
    <rPh sb="288" eb="290">
      <t>イミ</t>
    </rPh>
    <phoneticPr fontId="1"/>
  </si>
  <si>
    <t>&lt;span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t>
    <rPh sb="188" eb="191">
      <t>ニホンゴ</t>
    </rPh>
    <rPh sb="219" eb="220">
      <t>タガ</t>
    </rPh>
    <rPh sb="241" eb="243">
      <t>イミ</t>
    </rPh>
    <phoneticPr fontId="1"/>
  </si>
  <si>
    <t>&lt;span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t>
  </si>
  <si>
    <t>&lt;span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t>
    <rPh sb="180" eb="183">
      <t>ニホンゴ</t>
    </rPh>
    <rPh sb="265" eb="267">
      <t>キンダイ</t>
    </rPh>
    <rPh sb="283" eb="285">
      <t>ゴゲン</t>
    </rPh>
    <rPh sb="319" eb="320">
      <t>チカ</t>
    </rPh>
    <rPh sb="326" eb="329">
      <t>ブツリテキ</t>
    </rPh>
    <rPh sb="330" eb="332">
      <t>イドウ</t>
    </rPh>
    <rPh sb="362" eb="364">
      <t>ヘンカ</t>
    </rPh>
    <rPh sb="369" eb="371">
      <t>ケッカ</t>
    </rPh>
    <rPh sb="407" eb="409">
      <t>イミ</t>
    </rPh>
    <phoneticPr fontId="1"/>
  </si>
  <si>
    <t>&lt;span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t>
  </si>
  <si>
    <t>&lt;span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t>
  </si>
  <si>
    <t>&lt;span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t>
  </si>
  <si>
    <t>&lt;span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t>
  </si>
  <si>
    <t>&lt;span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t>
  </si>
  <si>
    <t>&lt;span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t>
  </si>
  <si>
    <t>&lt;span class="w"&gt;&lt;b&gt;【547.loan：貸付金, ローン】&lt;/b&gt;&lt;/span&gt;
&lt;span class="ml"&gt;古ノルド語lan（貸し付け）に由来する。
&lt;span class="spacer"&gt;&lt;/span&gt;返すことを前提で借りているものを表し、「貸付金」という意味になる。
&lt;span class="spacer"&gt;&lt;/span&gt;古ノルド語lanからは英語のlend（貸す）も生まれている。&lt;/span&gt;</t>
  </si>
  <si>
    <t>&lt;span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t>
  </si>
  <si>
    <t>&lt;span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t>
  </si>
  <si>
    <t>&lt;span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t>
  </si>
  <si>
    <t>&lt;span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t>
  </si>
  <si>
    <t>&lt;span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t>
  </si>
  <si>
    <t>&lt;span class="w"&gt;&lt;b&gt;【554.candidate：候補（者）, 志願者】&lt;/b&gt;&lt;/span&gt;
&lt;span class="ml"&gt;ラテン語candere（白く輝く）から派生したcandidātus（白衣を着た者, 公職を志望する者）に由来する。
&lt;span class="spacer"&gt;&lt;/span&gt;この語の核は「白く輝く」。古代ローマでは、公職志願者は自らの潔白を示すため、まぶしいくらい白い服を身にまとったことから「候補者, 志願者」という意味になった。
&lt;span class="spacer"&gt;&lt;/span&gt;ラテン語candere（白く輝く）は、キャンドルの語源でもある。「白く輝く」はまさに白いキャンドルが火を灯す様子にピッタリ当てはまる。
&lt;div class="sample_image candidate"&gt;&lt;/div&gt;&lt;/span&gt;</t>
  </si>
  <si>
    <t>&lt;span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t>
  </si>
  <si>
    <t>&lt;span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t>
  </si>
  <si>
    <t>&lt;span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t>
  </si>
  <si>
    <t>&lt;span class="w"&gt;&lt;b&gt;【560.weapon：武器, 凶器, 兵器】&lt;/b&gt;&lt;/span&gt;
&lt;span class="ml"&gt;古英語wæpen（戦闘や防御の道具）にさかのぼる。
&lt;span class="spacer"&gt;&lt;/span&gt;もともとは争いや闘争で役立つもの一般を表したが、そこから攻撃の道具に特化して「武器, 凶器, 兵器」という意味になった。&lt;/span&gt;</t>
  </si>
  <si>
    <t>&lt;span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t>
  </si>
  <si>
    <t>&lt;span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t>
  </si>
  <si>
    <t>&lt;span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t>
  </si>
  <si>
    <t>&lt;span class="w"&gt;&lt;b&gt;【565.mood：気分, 機嫌, 雰囲気】&lt;/b&gt;&lt;/span&gt;
&lt;span class="ml"&gt;古英語mod（心, 精神, 勇気）にさかのぼる。
&lt;span class="spacer"&gt;&lt;/span&gt;古英語の時代までは戦闘における勇敢さや激しい感情を表していたが、中世以降になるとその戦闘的なニュアンスは徐々に薄れ、全体的な「心の状態」や「気質」を意味するようになった。
&lt;span class="spacer"&gt;&lt;/span&gt;そして近代に入ると、さらに意味が穏やかになり、現在のように「良い気分」や「悪い気分」といった、「気分, 機嫌, 雰囲気」といった日常的で移ろいやすい言葉として定着した。&lt;/span&gt;</t>
  </si>
  <si>
    <t>&lt;span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t>
  </si>
  <si>
    <t>&lt;span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t>
  </si>
  <si>
    <t>&lt;span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t>
  </si>
  <si>
    <t>&lt;span class="w"&gt;&lt;b&gt;【568.myth：神話, 作り話】&lt;/b&gt;&lt;/span&gt;
&lt;span class="ml"&gt;ギリシャ語mythos（話し言葉, 会話, 語り, 伝承, 神話）に由来する。
&lt;span class="spacer"&gt;&lt;/span&gt;もともとは話し言葉や会話といった口から出る言葉を指した。これには古くから口承で受け継がれてきた物語も含まれる。口頭で伝承された話は、真偽がわからないため、神々に関する「神話」や人が作り上げた「作り話」を意味するようになった。&lt;/span&gt;</t>
  </si>
  <si>
    <t>&lt;span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t>
  </si>
  <si>
    <t>&lt;span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t>
  </si>
  <si>
    <t>&lt;span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t>
  </si>
  <si>
    <t>&lt;span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t>
  </si>
  <si>
    <t>&lt;span class="w"&gt;&lt;b&gt;【574.grain：穀物, 粒, きめ】&lt;/b&gt;&lt;/span&gt;
&lt;span class="ml"&gt;ラテン語granum（穀粒, 種子, 小さな核）に由来する。
&lt;span class="spacer"&gt;&lt;/span&gt;もともとは穀物の食べられる部分である穀粒を指したが、それだけではなく「穀物」全体も表すようになった（稲や麦など）。稲でイメージすると、食べられる粒（米）だけではなく稲そのものも表す。
&lt;span class="spacer"&gt;&lt;/span&gt;また穀物の粒から、一般的に何かの「粒（a grain of 〜）」や、粒のような表面の粗さや質感から「きめ」という意味にもなった。&lt;/span&gt;</t>
  </si>
  <si>
    <t>&lt;span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t>
  </si>
  <si>
    <t>&lt;span class="w"&gt;&lt;b&gt;【576.treasure：宝物, 財産】&lt;/b&gt;&lt;/span&gt;
&lt;span class="ml"&gt;ギリシャ語thēsauros（蓄え, 宝）に由来する。
&lt;span class="spacer"&gt;&lt;/span&gt;ギリシャ語から意味の変化はほとんどなく「宝物」、蓄え＝「財産」という意味になる。&lt;/span&gt;</t>
  </si>
  <si>
    <t>&lt;span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t>
  </si>
  <si>
    <t>&lt;span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t>
  </si>
  <si>
    <t>&lt;span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t>
  </si>
  <si>
    <t>&lt;span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t>
  </si>
  <si>
    <t>&lt;span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t>
  </si>
  <si>
    <t>&lt;span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t>
    <rPh sb="142" eb="144">
      <t>ゴゲン</t>
    </rPh>
    <rPh sb="293" eb="295">
      <t>ゴゲン</t>
    </rPh>
    <phoneticPr fontId="1"/>
  </si>
  <si>
    <t>&lt;span class="w"&gt;&lt;b&gt;【583.anxious：心配して, 不安で, 切望して】&lt;/b&gt;&lt;/span&gt;
&lt;span class="ml"&gt;ラテン語angere（締め付ける, 窒息させる）に由来する。
&lt;span class="spacer"&gt;&lt;/span&gt;物理的に締め付けて息苦しくさせることから精神的な意味へと変化して、胸が締めつけられて息苦しくなる心の状態、つまり「心配して, 不安で」という意味になった。
&lt;span class="spacer"&gt;&lt;/span&gt;また、胸が強く締め付けられる不安状態のときは、何かを強く望む気持ちにつながる。たとえば受験への心配と合格を切望する気持ちが共存するように、心配と切望は心理的にとても近い。ここから何かを「切望して」という意味にもなる｡
&lt;span class="spacer"&gt;&lt;/span&gt;be anxious to do（〜することを切望している）
&lt;div class="sample_image anxious"&gt;&lt;/div&gt;&lt;/span&gt;</t>
  </si>
  <si>
    <t>&lt;span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t>
  </si>
  <si>
    <t>&lt;span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t>
  </si>
  <si>
    <t>&lt;span class="w"&gt;&lt;b&gt;【587.minor：些細な, 小さい】&lt;/b&gt;&lt;/span&gt;
&lt;span class="ml"&gt;ラテン語の比較級minor（より小さい, 重要度の低い）に由来する。
&lt;span class="spacer"&gt;&lt;/span&gt;ここから「小さい」や、重要度が小さい、つまり「些細な」という意味になる。&lt;/span&gt;</t>
  </si>
  <si>
    <t>&lt;span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t>
  </si>
  <si>
    <t>&lt;span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t>
  </si>
  <si>
    <t>&lt;span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t>
  </si>
  <si>
    <t>&lt;span class="w"&gt;&lt;b&gt;【591.brief：簡潔な, 短い】&lt;/b&gt;&lt;/span&gt;
&lt;span class="ml"&gt;ラテン語brevis（短い）に由来する。
&lt;span class="spacer"&gt;&lt;/span&gt;もともとは時間的に短いことを表していたが、言葉や文章が短いことも表すようになった。そこから「短い, 簡潔な」という意味になった。&lt;/span&gt;</t>
  </si>
  <si>
    <t>&lt;span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t>
  </si>
  <si>
    <t>&lt;span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t>
  </si>
  <si>
    <t>&lt;span class="w"&gt;&lt;b&gt;【595.ethnic：民族の, 人種の】&lt;/b&gt;&lt;/span&gt;
&lt;span class="ml"&gt;ギリシャ語に由来する語で、以下の2つの要素から成る。
&lt;span class="spacer"&gt;&lt;/span&gt;ethnos（共に生活する人々の集団, 民族）
ikos（形容詞化）
&lt;span class="spacer"&gt;&lt;/span&gt;もともとは一緒に生活する人々の集団を表し、ここから民族となる。これが形容詞となって「民族の」という意味になる。&lt;/span&gt;</t>
  </si>
  <si>
    <t>&lt;span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t>
  </si>
  <si>
    <t>&lt;span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t>
  </si>
  <si>
    <t>&lt;span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t>
  </si>
  <si>
    <t>&lt;span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t>
  </si>
  <si>
    <t>&lt;span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t>
  </si>
  <si>
    <t>&lt;span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t>
  </si>
  <si>
    <t>&lt;span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t>
  </si>
  <si>
    <t>&lt;span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t>
  </si>
  <si>
    <t>quit（やめる）
quiet（静かな）
quite（全く, 完全に）
これらは全て同じ語源から生まれている。</t>
  </si>
  <si>
    <t>quietus（静かな, 自由な, 解放された）</t>
  </si>
  <si>
    <t>quite（自由な, 拘束のない, 完全な）
&lt;span class="spacer"&gt;&lt;/span&gt;動詞になって
quiter（精算する, 解放する, 放棄する）</t>
  </si>
  <si>
    <t>cap（取る）系はまとめて覚える。</t>
  </si>
  <si>
    <t>&lt;span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t>
  </si>
  <si>
    <t>fer（運ぶ）系はまとめて覚える。</t>
  </si>
  <si>
    <t>1718年
困惑させる, 混乱させる</t>
  </si>
  <si>
    <t>persuadeは「相手の心を心地よく（甘く）動かして納得させる」というイメージ。</t>
  </si>
  <si>
    <t>&lt;span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t>
  </si>
  <si>
    <t>re（後ろへ）＋dare（与える）
reddere（返す, 与える, 差し出す）</t>
  </si>
  <si>
    <t>&lt;span class="w"&gt;&lt;b&gt;【615.breed：〜を繁殖させる, 〜を育てる】&lt;/b&gt;&lt;/span&gt;
&lt;span class="ml"&gt;古英語bredan（子を産ませる）にさかのぼる。
&lt;span class="spacer"&gt;&lt;/span&gt;子を産ませることから、特に家畜などを「繁殖させる, 育てる」という意味になる。&lt;/span&gt;</t>
  </si>
  <si>
    <t>serve（保つ, 守る）系はまとめて覚える。</t>
  </si>
  <si>
    <t>re（後ろへ）＋servare（保つ, 守る）
reservare（後ろに守る, 後ろに取っておく, 保存する）</t>
  </si>
  <si>
    <t>&lt;span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t>
  </si>
  <si>
    <t>illustrateはイルミネーション（illumination）と同じで「照らしてはっきりさせる」イメージ。</t>
  </si>
  <si>
    <t>&lt;span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t>
  </si>
  <si>
    <t>日本語の「アドバイスする」と同じ。
vise部分は「見る」に関連する。</t>
  </si>
  <si>
    <t>&lt;span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t>
  </si>
  <si>
    <t>16世紀
ラテン語のadにならって、dが入ったスペルが定着</t>
  </si>
  <si>
    <t>&lt;span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t>
  </si>
  <si>
    <t>日本語でも付属品のことをアタッチメントと言う。</t>
  </si>
  <si>
    <t>&lt;span class="w"&gt;&lt;b&gt;【623.stretch：〜を伸ばす, 〜を広げる】&lt;/b&gt;&lt;/span&gt;
&lt;span class="ml"&gt;古英語streccan（伸ばす, 広げる）にさかのぼる。
&lt;span class="spacer"&gt;&lt;/span&gt;古英語からほとんど意味の変化はない。&lt;/span&gt;</t>
  </si>
  <si>
    <t>日本語でも使われるパズル（人を悩ませるもの）と関連させて覚える。</t>
  </si>
  <si>
    <t>&lt;span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t>
  </si>
  <si>
    <t>pausare（停止する）</t>
  </si>
  <si>
    <t>poser（置く）</t>
  </si>
  <si>
    <t>poser（仮定する）</t>
  </si>
  <si>
    <t>1520年代
質問する, 問い詰める
&lt;span class="spacer"&gt;&lt;/span&gt;1590年代
困惑させる, 混乱させる, 難解にする
&lt;span class="spacer"&gt;&lt;/span&gt;poseの反復形
pusle（混乱させる）
&lt;span class="spacer"&gt;&lt;/span&gt;pose→puzzleは、nose（鼻）→nuzzle（鼻をすりつける）を真似て作られたと考えられる</t>
  </si>
  <si>
    <t>disturbのturb部分は、troubleと同じ語源に由来する。そのためトラブルと関連させて覚える。</t>
  </si>
  <si>
    <t>&lt;span class="w"&gt;&lt;b&gt;【625.disturb：〜を掻き乱す, 〜を妨害する】&lt;/b&gt;&lt;/span&gt;
&lt;span class="ml"&gt;ラテン語に由来する語で、以下の2つの要素から成る。
&lt;span class="spacer"&gt;&lt;/span&gt;dis（完全に）
turba（混乱）
&lt;span class="spacer"&gt;&lt;/span&gt;このまま日本語にすると「完全に混乱させる」となる。混乱した状態では物事がうまく進まないことから「掻き乱す, 妨害する」となる。
&lt;span class="spacer"&gt;&lt;/span&gt;また、ラテン語turba（混乱）からは英語trouble（トラブル）も生まれている。トラブルというのは物事の進行を妨害するものなので、それと関連させて「妨害する, 掻き乱す」と覚えるとよい。&lt;/span&gt;</t>
  </si>
  <si>
    <t>日本語でも使われる車がクラッシュするなどと関連させて覚える。</t>
  </si>
  <si>
    <t>&lt;span class="w"&gt;&lt;b&gt;【626.crash：衝突する, 墜落する】&lt;/b&gt;&lt;/span&gt;
&lt;span class="ml"&gt;中英語crasschen（粉々に壊す, ガシャガシャと大きな音を立てる）にさかのぼる。
&lt;span class="spacer"&gt;&lt;/span&gt;これはおそらく擬音語で、大きくガチャガチャ音を立てることや、何かを粉々に壊すことを表した。そこから、車や飛行機が登場して「衝突する, 墜落する」という意味へ発展した。&lt;/span&gt;</t>
  </si>
  <si>
    <t>&lt;span class="w"&gt;&lt;b&gt;【627.cope：（with ~）〜に対処する】&lt;/b&gt;&lt;/span&gt;
&lt;span class="ml"&gt;copeはもともと打つ・殴るという意味だったが、18世紀頃までに「対処する」という意味へと発展した。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lt;/span&gt;</t>
  </si>
  <si>
    <t>15〜17世紀
&lt;span class="obsolete"&gt;取引する, 交渉する（現在は廃用）
これは北海での貿易用語（取引, 商売）に由来する&lt;/span&gt;
&lt;span class="spacer"&gt;&lt;/span&gt;18世紀までに
物事にうまく対処する, 扱う</t>
  </si>
  <si>
    <t>impressは「中に押し込む」イメージ。</t>
  </si>
  <si>
    <t>&lt;span class="w"&gt;&lt;b&gt;【ターゲット1000：165.owing to / due to ～：～のために, ～のおかげで】&lt;/b&gt;&lt;/span&gt;
&lt;span class="ml"&gt;owing toは1650年代に使われ始めた表現。
～に借りがある
&lt;span class="arrow"&gt;→&lt;/span&gt;「～のおかげで, ～のために」というイメージ。&lt;/span&gt;</t>
  </si>
  <si>
    <t>&lt;span class="w"&gt;&lt;b&gt;【866.shame：恥, 残念なこと】&lt;/b&gt;&lt;/span&gt;
&lt;span class="ml"&gt;古英語から恥や不名誉に関連する意味があり、そこから大きく変わっていない。&lt;/span&gt;</t>
  </si>
  <si>
    <t>&lt;span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t>
  </si>
  <si>
    <t>&lt;span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t>
  </si>
  <si>
    <t>&lt;span class="w"&gt;&lt;b&gt;【609.quit：〜をやめる, （場所）を去る】&lt;/b&gt;&lt;/span&gt;
&lt;span class="ml"&gt;ラテン語quietus（静かな, 自由な, 解放された）に由来する。
&lt;span class="spacer"&gt;&lt;/span&gt;義務や責任などに縛られた状態から解放されて静かな状態を表し、ここからquit, quiet, quiteが生まれた。
&lt;span class="spacer"&gt;&lt;/span&gt;quitは、関わっている行動や状況から解放されて離れることから「やめる, 去る」という意味になった。
&lt;span class="spacer"&gt;&lt;/span&gt;quietは解放されて「静かな」、quiteは完全に解放された状態から副詞「完全に」という意味になった。
&lt;div class="sample_image quit"&gt;&lt;/div&gt;&lt;/span&gt;</t>
  </si>
  <si>
    <t>&lt;span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t>
  </si>
  <si>
    <t>&lt;span class="w"&gt;&lt;b&gt;【613.persuade：〜を説得する, 納得させる】&lt;/b&gt;&lt;/span&gt;
&lt;span class="ml"&gt;ラテン語に由来する語で、以下の2つの要素から成る。
&lt;span class="spacer"&gt;&lt;/span&gt;per（完全に）
suadere（甘くする, 勧める）
&lt;span class="spacer"&gt;&lt;/span&gt;suade部分は英語sweet（甘い）と関連する。この語の核は「甘い言葉で相手を心地よくして、心を動かす」。そこから何かを勧める、そして「説得する, 納得させる」という意味になった。
&lt;div class="sample_image persuade"&gt;&lt;/div&gt;&lt;/span&gt;</t>
  </si>
  <si>
    <t>&lt;span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t>
  </si>
  <si>
    <t>&lt;span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t>
  </si>
  <si>
    <t>&lt;span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t>
  </si>
  <si>
    <t>&lt;span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t>
  </si>
  <si>
    <t>spect（見る）系はまとめて覚える。
suspectは名詞だと「容疑者」＝疑われる人になる。</t>
  </si>
  <si>
    <t>&lt;span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t>
  </si>
  <si>
    <t>&lt;span class="w"&gt;&lt;b&gt;【632.frighten：〜を怖がらせる】&lt;/b&gt;&lt;/span&gt;
&lt;span class="ml"&gt;近代英語にさかのぼり、以下の2つの要素から成る。
&lt;span class="spacer"&gt;&lt;/span&gt;fright（恐怖）
en（動詞化）
&lt;span class="spacer"&gt;&lt;/span&gt;このまま日本語にすると「怖がらせる」という意味になる。「怖がる」の場合は受け身be frightenedになる。&lt;/span&gt;</t>
  </si>
  <si>
    <t>import / export / transportはまとめて覚える。
このport部分は、英語port（港）と関連している。</t>
  </si>
  <si>
    <t>&lt;span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t>
  </si>
  <si>
    <t>export / import / transportはまとめて覚える。
このport部分は、英語port（港）と関連している。</t>
  </si>
  <si>
    <t>&lt;span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t>
  </si>
  <si>
    <t>&lt;span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t>
  </si>
  <si>
    <t>1931年
放送の品質を継続的にチェックするための装置
特定のカメラからの映像を映し出す画面
&lt;span class="spacer"&gt;&lt;/span&gt;1944年から
一般的に、何かを監視する</t>
  </si>
  <si>
    <t>英語chalk（チョーク）と関連する語。</t>
  </si>
  <si>
    <t>eはex（外に）で、limineはlimitと同じ語源に由来する。</t>
  </si>
  <si>
    <t>ex（外に）＋limine（敷居, 境界：limitの語源）
ex limine（敷居の外へ）
&lt;span class="spacer"&gt;&lt;/span&gt;動詞になって
eliminare（敷居の外へ押し出す）
&lt;span class="spacer"&gt;&lt;/span&gt;過去分詞eliminatus</t>
  </si>
  <si>
    <t>easy（簡単な, 気楽な）の動詞として覚えればよい。</t>
  </si>
  <si>
    <t>&lt;span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t>
  </si>
  <si>
    <t>launchは「ランス（槍）を投げるように何かを発射する, 開始する」というイメージ。</t>
  </si>
  <si>
    <t>sequi（従う, 続く）系はまとめて覚える。</t>
  </si>
  <si>
    <t>アニマルセラピーなどでも使われる「セラピー（治療法）」と関連させて覚える。</t>
  </si>
  <si>
    <t>&lt;span class="w"&gt;&lt;b&gt;【642.therapy：療法】&lt;/b&gt;&lt;/span&gt;
&lt;span class="ml"&gt;ギリシャ語therapeuein（世話をする, 治療する）に由来する。
&lt;span class="spacer"&gt;&lt;/span&gt;治療するという動詞から「治療法」という名詞になった。&lt;/span&gt;</t>
  </si>
  <si>
    <t>symptomは「突然降りかかる体の異常」というイメージ。</t>
  </si>
  <si>
    <t>&lt;span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t>
  </si>
  <si>
    <t>15世紀初頭
他の事柄に付随して偶然に起こるもの
&lt;span class="spacer"&gt;&lt;/span&gt;15世紀半ば
他の事柄とは関係ないひとつの出来事</t>
  </si>
  <si>
    <t>witnessは「事実を見た人とその人の知っていること」というイメージ。</t>
  </si>
  <si>
    <t>*weid-（見る）</t>
  </si>
  <si>
    <t>sumは、superの最上級で「一番上に書かれたまとめ」と考えればよい。</t>
  </si>
  <si>
    <t>burdenのbur部分は、bear, birth, bringと同じ。</t>
  </si>
  <si>
    <t>&lt;span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t>
  </si>
  <si>
    <t>日本語でも使われるトーン（音色）と関連させて覚える。toneは、tendやtensionのように「何か引き伸ばす」イメージ。</t>
  </si>
  <si>
    <t>&lt;span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t>
  </si>
  <si>
    <t>&lt;span class="w"&gt;&lt;b&gt;【649.honor：名誉, 敬意, 光栄】&lt;/b&gt;&lt;/span&gt;
&lt;span class="ml"&gt;ラテン語honorem（名誉, 名声）に由来する。
&lt;span class="spacer"&gt;&lt;/span&gt;ラテン語から変わらず「名誉」という意味をもつ。「名誉」ある人は「敬意」を向けられて「光栄」と覚える。&lt;/span&gt;</t>
  </si>
  <si>
    <t>&lt;span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t>
  </si>
  <si>
    <t>prior（先の, 優先している）の名詞として覚える。</t>
  </si>
  <si>
    <t>&lt;span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t>
  </si>
  <si>
    <t>priorに名詞を作る-tasが付いて
prioritas（先行していること）</t>
  </si>
  <si>
    <t>日本語でも使われるロジック（論理）と関連させて覚える。</t>
  </si>
  <si>
    <t>&lt;span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t>
  </si>
  <si>
    <t>ミニマムはマイナーの最上級。</t>
  </si>
  <si>
    <t>&lt;span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t>
  </si>
  <si>
    <t>minor（より小さい）
&lt;span class="spacer"&gt;&lt;/span&gt;最上級を作る-imusが付いて
minimus（もっとも小さい）
&lt;span class="spacer"&gt;&lt;/span&gt;名詞を作る-umが付いて
minimum（最小のもの）</t>
  </si>
  <si>
    <t>cept（取る）系はまとめて覚える。
またexcept（～を除いて）の名詞として覚える。</t>
  </si>
  <si>
    <t>&lt;span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t>
  </si>
  <si>
    <t>&lt;span class="w"&gt;&lt;b&gt;【655.clue：手がかり】&lt;/b&gt;&lt;/span&gt;
&lt;span class="ml"&gt;中英語clewe（毛糸の玉）に由来する。
&lt;span class="spacer"&gt;&lt;/span&gt;これはギリシャ神話の「アリアドネの糸」の影響で「手がかり」という意味になった。
&lt;span class="spacer"&gt;&lt;/span&gt;［アリアドネの糸］
迷宮に住むミノタウロスを倒しに行くテセウスが、倒した後に道に迷わずに迷宮を脱出できるよう、アリアドネはテセウスに糸玉を渡す。テセウスは入り口に糸の端を結びつけ、糸を伸ばしながら進み、帰りはその糸を手がかりに入り口に戻ることができた。&lt;/span&gt;</t>
  </si>
  <si>
    <t>&lt;span class="w"&gt;&lt;b&gt;【657.virus：ウイルス】&lt;/b&gt;&lt;/span&gt;
&lt;span class="ml"&gt;ラテン語virus（毒）に由来する。
&lt;span class="spacer"&gt;&lt;/span&gt;もともとは、毒という他人に感染するものを表した。そして病気を引き起こすウイルスが発見され、「ウイルス」という意味になった。&lt;/span&gt;</t>
  </si>
  <si>
    <t>1790年代
感染症の伝染因子
&lt;span class="spacer"&gt;&lt;/span&gt;1870年代
病原性の微小因子
&lt;span class="spacer"&gt;&lt;/span&gt;1890年代後半
ウイルスが発見されてから、ウイルスという意味になる</t>
  </si>
  <si>
    <t>physician（内科医）と関連させて覚える。</t>
  </si>
  <si>
    <t>&lt;span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t>
  </si>
  <si>
    <t>insuranceは以下のイメージ。
sura（心配から離れた）
in（状態にする）
ance（もの）</t>
  </si>
  <si>
    <t>&lt;span class="w"&gt;&lt;b&gt;【660.frame：枠, 縁, 骨組み】&lt;/b&gt;&lt;/span&gt;
&lt;span class="ml"&gt;古英語fram（〜から, 前方へ, 活動的な, 前進する）にさかのぼる。
&lt;span class="spacer"&gt;&lt;/span&gt;もともとはfrom（〜から）の語源と同じ語から出発した。「〜から」という起点を表す語から、物事を前へ進めていくこと、何かを前に進めるための準備、さらに木材などを準備して組み立てられた構造物へと意味がシフトしていった。そして組み立てられた構造物の「枠, 骨組み, 縁」といった意味になった。&lt;/span&gt;</t>
  </si>
  <si>
    <t>日本語でも使われるシェルター（避難所）と関連させて覚える。
shelterは、shield（盾）と関連する語。</t>
  </si>
  <si>
    <t>&lt;span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t>
  </si>
  <si>
    <t>日本語でも使われるテリトリーと関連させて覚える。</t>
  </si>
  <si>
    <t>&lt;span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t>
  </si>
  <si>
    <t>&lt;span class="w"&gt;&lt;b&gt;【663.boundary：境界（線）, （boundaries）限界】&lt;/b&gt;&lt;/span&gt;
&lt;span class="ml"&gt;中世ラテン語bodina（境界を示す目印）に由来する、近代英語bound（境界）にary（場所や物を示す）が付いた語。
&lt;span class="spacer"&gt;&lt;/span&gt;もともとは、境界を示す目印を結んだ地理的な「境界（線）」を意味していた。そしてさらに比喩的に、公私の境界や人間関係における心理的な境界、ルールの限界など、目に見えない「境界（線）, 限界」という意味になった。&lt;/span&gt;</t>
  </si>
  <si>
    <t>bodina（境界を示す目印）</t>
  </si>
  <si>
    <t>habitatのhabit部分は「持ち続ける」というイメージ。&lt;span class="obsolete"&gt;habit（習慣）も行動を持ち続けているということ。&lt;/span&gt;</t>
  </si>
  <si>
    <t>&lt;span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t>
  </si>
  <si>
    <t>habēre（持つ, 所有する）
&lt;span class="spacer"&gt;&lt;/span&gt;反復形habitāre（持ち続ける, 占有する, 住む）</t>
  </si>
  <si>
    <t>1762年
植物や生物の生息地
&lt;span class="obsolete"&gt;イギリスの動植物に関するラテン語で書かれた文献で使われていた専門用語&lt;/span&gt;
&lt;span class="spacer"&gt;&lt;/span&gt;1854年
一般的な住居, 住処</t>
  </si>
  <si>
    <t>アメリカの首都：ワシントン D.C.
Washington District of Colombia
初代大統領の名前ワシントン＋「コロンビア特別区」
&lt;span class="obsolete"&gt;コロンビアは、新大陸を象徴するコロンブスの名前に基づく。&lt;/span&gt;</t>
  </si>
  <si>
    <t>&lt;span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t>
  </si>
  <si>
    <t>&lt;span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t>
  </si>
  <si>
    <t>&lt;span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t>
  </si>
  <si>
    <t>&lt;span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t>
  </si>
  <si>
    <t>&lt;span class="w"&gt;&lt;b&gt;【335.bore：～を退屈させる, ～をうんざりさせる】&lt;/b&gt;&lt;/span&gt;
&lt;span class="ml"&gt;一説では、古英語borian（棒を回して穴を開ける）に由来すると考えられる。
&lt;span class="spacer"&gt;&lt;/span&gt;棒を回して穴を開けるのは非常に時間がかかることなので、そこから「退屈させる, うんざりさせる」という意味になった。
&lt;span class="spacer"&gt;&lt;/span&gt;退屈&lt;strong&gt;させる&lt;/strong&gt;という意味なので、退屈&lt;strong&gt;する&lt;/strong&gt;は受け身になる。
be bored with A（Aにうんざり / 退屈している）&lt;/span&gt;</t>
  </si>
  <si>
    <t>circum（周囲, 円）とstance（スタンス）＝「周りのスタンス＝状況, 事情」というイメージで覚えればよい。
&lt;span class="spacer"&gt;&lt;/span&gt;以下の表現も覚えておく。
&lt;strong&gt;under no circumstances
いかなる状況でも〜ない&lt;/strong&gt;</t>
  </si>
  <si>
    <t>東京のお台場には「ダイバーシティ東京」という複合施設がある。これは、diversity（多様性）とcity（街）を組み合わせた造語で、&lt;strong&gt;多様な&lt;/strong&gt;な付加価値を提供する街として名付けられた。</t>
  </si>
  <si>
    <t>&lt;span class="w"&gt;&lt;b&gt;【600.latter：後者の, 後半の】&lt;/b&gt;&lt;/span&gt;
&lt;span class="ml"&gt;古英語læt（遅い：lateの語源）の比較級lætra（より後の）にさかのぼる。
&lt;span class="spacer"&gt;&lt;/span&gt;これは、2つのうち「より後の方」ということから「後者の, 後半の」という意味になった。
&lt;span class="spacer"&gt;&lt;/span&gt;古英語læt（遅い）から生まれた比較級は、latterとlaterがある。
（lateの比較級がlater / latterと考えればよい）
&lt;span class="spacer"&gt;&lt;/span&gt;latterは&lt;strong&gt;順序&lt;/strong&gt;において「より後の」を意味する。
（the former ~）the latter …（2つある内の後者）として使われる。
&lt;span class="spacer"&gt;&lt;/span&gt;laterは&lt;strong&gt;時間&lt;/strong&gt;において「より後の」を意味する。&lt;/span&gt;</t>
  </si>
  <si>
    <t>工場などで物を流して運ぶベルトコンベアと関連させて覚える。コンベアはconveyにor（〜するもの）がついた語。
&lt;div class="sample_image convey"&gt;&lt;/div&gt;</t>
    <phoneticPr fontId="1"/>
  </si>
  <si>
    <t>日本語でも使われるウイルスと関連させて覚える。&lt;strong&gt;発音に注意&lt;/strong&gt;。</t>
  </si>
  <si>
    <t>neverthelessはnonethelessと一緒に覚える。
&lt;span class="spacer"&gt;&lt;/span&gt;A nevertheless / nonetheless B
the less（より少なく）をnone / neverで否定して「ふつうならBの程度はlessになるのに影響なし」というイメージ。</t>
    <rPh sb="133" eb="135">
      <t>テイド</t>
    </rPh>
    <rPh sb="145" eb="147">
      <t>エイキョウ</t>
    </rPh>
    <phoneticPr fontId="1"/>
  </si>
  <si>
    <t>&lt;span class="w"&gt;&lt;b&gt;【608.abandon：〜を捨てる, 〜を放棄する】&lt;/b&gt;&lt;/span&gt;
&lt;span class="ml"&gt;古フランス語のフレーズá bandon（意のままに）に由来し、以下の2つの要素から成る。
&lt;span class="spacer"&gt;&lt;/span&gt;á（〜へ）
bandon（権力, 支配）
&lt;span class="spacer"&gt;&lt;/span&gt;この語の核は「支配（bandon）に委ねること」。もともとは、あるものを自分の支配から手放し、他人の支配や成り行きに任せることを意味した。そこから、自分の管理や責任の範囲から外してしまうという意味が生じ、「捨てる, 放棄する」という意味になった。
&lt;div class="sample_image abandon"&gt;&lt;/div&gt;&lt;/span&gt;</t>
    <phoneticPr fontId="1"/>
  </si>
  <si>
    <t>&lt;span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t>
    <phoneticPr fontId="1"/>
  </si>
  <si>
    <t>&lt;span class="w"&gt;&lt;b&gt;【635.investigate：〜を調査する】&lt;/b&gt;&lt;/span&gt;
&lt;span class="ml"&gt;ラテン語に由来する語で、以下の2つの要素から成る。
&lt;span class="spacer"&gt;&lt;/span&gt;in（中に）
vestigum（足跡）から派生したvestigare（跡をたどる）
&lt;span class="spacer"&gt;&lt;/span&gt;この語の核は「中へ入り込んで跡をたどる」。何かを追跡し、その内部や詳細へ足を踏み入れて調べるイメージから「調査する」という意味になる。
&lt;div class="sample_image investigate"&gt;&lt;/div&gt;&lt;/span&gt;</t>
    <phoneticPr fontId="1"/>
  </si>
  <si>
    <t>&lt;span class="w"&gt;&lt;b&gt;【637.calculate：〜を計算する, 〜を予測する】&lt;/b&gt;&lt;/span&gt;
&lt;span class="ml"&gt;ラテン語に由来する語で、以下の2つの要素から成る。
&lt;span class="spacer"&gt;&lt;/span&gt;calx（石灰石）
ulus（小さいことを表す）
&lt;span class="spacer"&gt;&lt;/span&gt;このまま日本語にすると「小さい石灰石, 小石」となる。古代ローマでは、計算するときに小石が使用されたことから、動詞で「計算する」という意味になった。
&lt;span class="spacer"&gt;&lt;/span&gt;またそこから、状況に基づいて今後どうなるかを計算する、つまり「予測する」という意味になった。
&lt;span class="spacer"&gt;&lt;/span&gt;ラテン語calx（石灰石）は、英語chalk（チョーク）の誕生にも関わっている。
&lt;div class="sample_image calculate"&gt;&lt;/div&gt;&lt;/span&gt;</t>
    <rPh sb="372" eb="375">
      <t>セッカイセキ</t>
    </rPh>
    <phoneticPr fontId="1"/>
  </si>
  <si>
    <t>&lt;span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t>
    <phoneticPr fontId="1"/>
  </si>
  <si>
    <t>&lt;span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t>
    <phoneticPr fontId="1"/>
  </si>
  <si>
    <t>&lt;span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t>
    <phoneticPr fontId="1"/>
  </si>
  <si>
    <t>&lt;span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t>
    <phoneticPr fontId="1"/>
  </si>
  <si>
    <t>&lt;span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t>
    <phoneticPr fontId="1"/>
  </si>
  <si>
    <t>日本語でも使われる工作のボンド（接着剤）と関連させて覚える。
bondは「何かを結びつけるもの」というイメージ。</t>
    <phoneticPr fontId="1"/>
  </si>
  <si>
    <t>&lt;span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t>
    <rPh sb="134" eb="135">
      <t>ナニ</t>
    </rPh>
    <phoneticPr fontId="1"/>
  </si>
  <si>
    <t>&lt;span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t>
    <phoneticPr fontId="1"/>
  </si>
  <si>
    <t>conserve, preserve, reserveはまとめて覚える。</t>
  </si>
  <si>
    <t>&lt;span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t>
  </si>
  <si>
    <t>com（強意）+servare（見守る, 保つ）
conservare（しっかり見守る, 保つ, 保存する）
&lt;span class="spacer"&gt;&lt;/span&gt;名詞を作る-ionemが付いて
conservationem（保存, 保護）</t>
  </si>
  <si>
    <t>harvestは「秋に行われた収穫, 収穫された物」というイメージ。</t>
  </si>
  <si>
    <t>&lt;span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t>
  </si>
  <si>
    <t>&lt;span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t>
  </si>
  <si>
    <t>*prae-（前に, 先に）+*ghend-（取る, つかむ）</t>
  </si>
  <si>
    <t>praeheda（先にとらえられたもの）
&lt;span class="spacer"&gt;&lt;/span&gt;praeda（戦利品, 狩猟対象の動物）
&lt;span class="spacer"&gt;&lt;/span&gt;動詞になって
praedari（奪う）
&lt;span class="spacer"&gt;&lt;/span&gt;名詞を作る-or（〜する人）が付いて
praedator（略奪者）</t>
  </si>
  <si>
    <t>日本語でも使われるトラップ（罠）と同じ。</t>
  </si>
  <si>
    <t>&lt;span class="w"&gt;&lt;b&gt;【669.trap：罠, トラップ】&lt;/b&gt;&lt;/span&gt;
&lt;span class="ml"&gt;古英語træppe（罠, トラップ）にさかのぼる。
&lt;span class="spacer"&gt;&lt;/span&gt;古英語から意味の変化はほとんどない。&lt;/span&gt;</t>
  </si>
  <si>
    <t>日本語でも使われるトリック（技）やトリックオアトリート（いたずら）と関連させて覚える。</t>
  </si>
  <si>
    <t>&lt;span class="w"&gt;&lt;b&gt;【670.trick：こつ, 策略, いたずら, 芸当】&lt;/b&gt;&lt;/span&gt;
&lt;span class="ml"&gt;古北フランス語trikier（だます, 欺く）に由来する。
&lt;span class="spacer"&gt;&lt;/span&gt;もともとは、相手をだますことを表し、そこから相手を欺くための「策略」や「いたずら」という意味になった。また欺きというのは人を驚かすものでもあるため、誰かを驚かす「芸当」やそういったものの「こつ」という意味にもなった。&lt;/span&gt;</t>
  </si>
  <si>
    <t>fail（失敗する）
false（偽の）
fault（責任, 欠点, 誤り）
これらは全て同じ語源にさかのぼる。</t>
  </si>
  <si>
    <t>&lt;span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t>
  </si>
  <si>
    <t>discountは「値段の一部を離して（dis）計算する（count）」というイメージ。</t>
  </si>
  <si>
    <t>&lt;span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t>
  </si>
  <si>
    <t>日本語でも使われるバイアス（偏見）と関連させて覚える。</t>
  </si>
  <si>
    <t>1520年代
斜めの線, 対角線
&lt;span class="spacer"&gt;&lt;/span&gt;1560年代
ボウルズという古い球技における専門用語で、ボウルズで使用される、片側を重くして斜めにカーブするように作られたボール
&lt;span class="spacer"&gt;&lt;/span&gt;1570年代
比喩的に、心の一方への偏り
&lt;span class="spacer"&gt;&lt;/span&gt;16世紀後期
偏見</t>
  </si>
  <si>
    <t>cooperationのcoは「共に」という意味。「共にオペレーションする」というイメージ。</t>
  </si>
  <si>
    <t>&lt;span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t>
  </si>
  <si>
    <t>英文の構成要素SVOCのV＝verb（動詞）と関連させて覚える。動詞とは、文の核となる言葉のこと。
またproverb（ことわざ）と関連させて覚える。</t>
  </si>
  <si>
    <t>&lt;span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t>
  </si>
  <si>
    <t>internalは「（外部に対して）内部の」というイメージ。</t>
  </si>
  <si>
    <t>&lt;span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t>
  </si>
  <si>
    <t>日本語でも使われるリモコン（リモートコントローラー, 遠隔コントローラー）と関連させて覚える。</t>
  </si>
  <si>
    <t>&lt;span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t>
  </si>
  <si>
    <t>同じ語源に由来する他の語と関連させて覚える。
prince（王子, 君主：国の第一の存在）
princess（王女, 妃）
principle（原理, 原則：第一の土台）</t>
  </si>
  <si>
    <t>&lt;span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t>
  </si>
  <si>
    <t>sophisticatedは「自然なものに手が加えられている」というイメージ。</t>
  </si>
  <si>
    <t>&lt;span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t>
  </si>
  <si>
    <t>sophos（知恵）から派生したsophistēs（賢者,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</si>
  <si>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equivalentは、equalとvalueが合わさったものだと考えればよい。</t>
  </si>
  <si>
    <t>&lt;span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t>
  </si>
  <si>
    <t>reri（計算する, 考える）系はまとめて覚える。</t>
  </si>
  <si>
    <t>&lt;span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t>
  </si>
  <si>
    <t>relevantは「持ち上げる→軽減する→助けとなる→当面の問題の助けとなる＝関係のある」と発展した。</t>
  </si>
  <si>
    <t>absoluteのsolute部分は、solve, resolveと同じで「解放」というイメージ。これの関係性はsolve（問題を解く）の名詞がsolutionになることからわかる。</t>
  </si>
  <si>
    <t>frequentは、物理的な人や物の密集が、時間的な出来事の密集に変化した。</t>
  </si>
  <si>
    <t>frequent（数が多い, 混み合った, 規則的な, 繰り返される）</t>
  </si>
  <si>
    <t>日本語でも使われるパーマ（永続的に髪をウェーブさせる）と関連させて覚える。</t>
  </si>
  <si>
    <t>&lt;span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t>
  </si>
  <si>
    <t>intenseは「極限まで引き伸ばされて程度が大きい」というイメージ。</t>
  </si>
  <si>
    <t>in（方向）＋tendere（伸ばす）
intendere（中へ伸ばす, 張り詰める）
&lt;span class="spacer"&gt;&lt;/span&gt;過去分詞intensus（伸ばされた, 張り詰められた, きつい）</t>
  </si>
  <si>
    <t>mean（意味する）やmeaning（意味）と関連させて覚える。</t>
  </si>
  <si>
    <t>&lt;span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t>
  </si>
  <si>
    <t>&lt;span class="w"&gt;&lt;b&gt;【693.evil：邪悪な（道徳的な悪）】&lt;/b&gt;&lt;/span&gt;
&lt;span class="ml"&gt;古英語yfel（悪い）にさかのぼる。
&lt;span class="spacer"&gt;&lt;/span&gt;もともとは、天気が悪い・状態が悪い・気分が悪いなど、広く「悪い」という意味で使われていた。中英語期になると、その役割をbadが担うようになり、evilは「邪悪な」という道徳的な悪に限定された。&lt;/span&gt;</t>
  </si>
  <si>
    <t>extinguish / extinct
distinguish / distinct
これらをセットで覚える。</t>
  </si>
  <si>
    <t>&lt;span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t>
  </si>
  <si>
    <t>ex（外に）＋stinguere（消す, 突き刺す）
extinguere（消す, 消化する, 滅ぼす）
&lt;span class="spacer"&gt;&lt;/span&gt;過去分詞extinctus（消された, 消滅した）</t>
  </si>
  <si>
    <t>日本語でも使われるランダム（無作為な）と同じ。</t>
  </si>
  <si>
    <t>&lt;span class="w"&gt;&lt;b&gt;【695.random：無作為の, ランダムな】&lt;/b&gt;&lt;/span&gt;
&lt;span class="ml"&gt;古フランス語randir（速く走る）から派生したrandon（突進）に由来する。
&lt;span class="spacer"&gt;&lt;/span&gt;この語の核は「猛スピードで走ること」。たとえば馬が猛スピードで走ると、自分では制御できず、何が起こるかわからない状態になる。
&lt;span class="spacer"&gt;&lt;/span&gt;1560年代にat rondomという形で使われるようになり、当初は元の意味通り「猛スピードで」という速さの表現だった。そこから、コントロールが効かず行き当たりばったりというニュアンスになり、「無作為の, ランダムな」という意味になった。&lt;/span&gt;</t>
  </si>
  <si>
    <t>crudeやcruelも同じ語源にさかのぼる。</t>
  </si>
  <si>
    <t>&lt;span class="w"&gt;&lt;b&gt;【696.raw：生の, 未加工の】&lt;/b&gt;&lt;/span&gt;
&lt;span class="ml"&gt;印欧祖語*kreue-（生肉）に由来する。
&lt;span class="spacer"&gt;&lt;/span&gt;この語の核は「手を加えられていない」。そこから「未加工の, 生の」という意味になる。&lt;/span&gt;</t>
  </si>
  <si>
    <t>&lt;span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t>
  </si>
  <si>
    <t>&lt;span class="w"&gt;&lt;b&gt;【698.mere：単なる, ほんの〜にすぎない】&lt;/b&gt;&lt;/span&gt;
&lt;span class="ml"&gt;ラテン語merus（純粋な, 本物の）に由来する。
&lt;span class="spacer"&gt;&lt;/span&gt;もともとは、良い意味で純粋であることを表したが、次第に他に何も入っていない、それだけしかないというネガティブな意味へと変化し、「単なる, ほんの〜にすぎない」という意味になった。&lt;/span&gt;</t>
  </si>
  <si>
    <t>&lt;span class="w"&gt;&lt;b&gt;【700.forth：前へ, 先へ】&lt;/b&gt;&lt;/span&gt;
&lt;span class="ml"&gt;古英語forð（前へ, 先へ）にさかのぼる。
&lt;span class="spacer"&gt;&lt;/span&gt;beforeやforwardのforeと同じで「前へ, 先へ」を意味する。&lt;/span&gt;</t>
  </si>
  <si>
    <t>&lt;span class="w"&gt;&lt;b&gt;【499.crucial：極めて重要な】&lt;/b&gt;&lt;/span&gt;
&lt;span class="ml"&gt;ラテン語crux（十字架：crossの語源）に由来する。
&lt;span class="spacer"&gt;&lt;/span&gt;もともとは「十字形の」という物理的な形状を表した。
&lt;span class="spacer"&gt;&lt;/span&gt;17世紀の科学者たちは、複数の仮説から真実を導き出すための決定的な検証を、分かれ道に立つ十字形の道標に例えて「十字架の実験」と呼んだ。この「岐路に立たされた際、進むべき方向を決定づける重要なポイント」というイメージから、現在の「極めて重要な」という意味になった。
&lt;div class="sample_image crucial"&gt;&lt;/div&gt;&lt;/span&gt;</t>
    <phoneticPr fontId="1"/>
  </si>
  <si>
    <t>&lt;span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t>
    <phoneticPr fontId="1"/>
  </si>
  <si>
    <t>&lt;span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t>
    <phoneticPr fontId="1"/>
  </si>
  <si>
    <t>&lt;span class="w"&gt;&lt;b&gt;【410.tear：〜を引き裂く】&lt;/b&gt;&lt;/span&gt;
&lt;span class="ml"&gt;古英語teran（力ずくで引き裂く）にさかのぼる。
&lt;span class="spacer"&gt;&lt;/span&gt;古英語から意味の変化はほとんどない。&lt;/span&gt;
&lt;div class="animation tear"&gt;&lt;/div&gt;</t>
    <phoneticPr fontId="1"/>
  </si>
  <si>
    <t>&lt;span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t>
  </si>
  <si>
    <t>&lt;span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t>
  </si>
  <si>
    <t>&lt;span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t>
  </si>
  <si>
    <t>domus（家）から派生したdominus（家の主人）
&lt;span class="spacer"&gt;&lt;/span&gt;動詞になって
dominari（統治する, 支配する）
&lt;span class="spacer"&gt;&lt;/span&gt;過去分詞dominatus</t>
  </si>
  <si>
    <t>guaranteeは、guard（ガード）と同じ語源に由来する。「覆って守る」というイメージ。</t>
  </si>
  <si>
    <t>&lt;span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t>
  </si>
  <si>
    <t>&lt;span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t>
  </si>
  <si>
    <t>discourageは「勇気をなくさせて行動しないようにする」というイメージ。</t>
  </si>
  <si>
    <t>&lt;span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t>
  </si>
  <si>
    <t>detective Conan（名探偵コナン）と関連させて覚える。
detectは「覆いを取り除いて見つけ出す」というイメージ。</t>
  </si>
  <si>
    <t>&lt;span class="w"&gt;&lt;b&gt;【707.detect：〜を見つけ出す, 〜を完治する】&lt;/b&gt;&lt;/span&gt;
&lt;span class="ml"&gt;ラテン語に由来する語で、以下の2つの要素から成る。
&lt;span class="spacer"&gt;&lt;/span&gt;de（離す）
tegere（覆う, 保護する）
&lt;span class="spacer"&gt;&lt;/span&gt;このまま日本語にすると「覆いを離す」となる。ここから、覆いを取って明らかにする、つまり「見つけ出す, 感知する」という意味になる。&lt;/span&gt;</t>
  </si>
  <si>
    <t>devoteのvote部分は、英語vote（票を捧げる, 投票する）と同じ。どちらも何かを捧げること。</t>
  </si>
  <si>
    <t>&lt;span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t>
  </si>
  <si>
    <t>&lt;span class="w"&gt;&lt;b&gt;【709.urge：〜に（強く）促す】&lt;/b&gt;&lt;/span&gt;
&lt;span class="ml"&gt;ラテン語urgere（強く押す, 駆り立てる）に由来する。
&lt;span class="spacer"&gt;&lt;/span&gt;強く押すことから、相手の背中を強く押して促す＝「強く促す」という意味になった。&lt;/span&gt;</t>
  </si>
  <si>
    <t>&lt;span class="w"&gt;&lt;b&gt;【710.lend：〜を貸す】&lt;/b&gt;&lt;/span&gt;
&lt;span class="ml"&gt;古英語lænan（一時的に与える, 貸す）にさかのぼる。
&lt;span class="spacer"&gt;&lt;/span&gt;古英語から意味の変化はほとんどない。&lt;/span&gt;</t>
  </si>
  <si>
    <t>strict（厳しい, 厳格な）と関連させて覚える。
str部分は「引っ張る」イメージ。</t>
  </si>
  <si>
    <t>&lt;span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t>
  </si>
  <si>
    <t>isolateはisland（島, アイランド）と同じ語源に由来する。「島のように孤立させる」というイメージ。</t>
  </si>
  <si>
    <t>&lt;span class="w"&gt;&lt;b&gt;【712.isolate：〜を孤立させる】&lt;/b&gt;&lt;/span&gt;
&lt;span class="ml"&gt;ラテン語insula（島）に由来する。
&lt;span class="spacer"&gt;&lt;/span&gt;この語の核は「島のようにする」。島は陸から離れてポツンとしていることから、島のように「孤立させる」という意味になった。&lt;/span&gt;</t>
  </si>
  <si>
    <t>company（会社, 仲間）と関連させて覚える。</t>
  </si>
  <si>
    <t>&lt;span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t>
  </si>
  <si>
    <t>&lt;span class="w"&gt;&lt;b&gt;【715.annoy：〜を悩ます, イライラさせる】&lt;/b&gt;&lt;/span&gt;
&lt;span class="ml"&gt;ラテン語に由来する語で、以下の2つの要素から成る。
&lt;span class="spacer"&gt;&lt;/span&gt;in（中に）
odio（憎しみ）
&lt;span class="spacer"&gt;&lt;/span&gt;もともとは、「憎しみの中にある」という強烈な感情を表していたが、憎しみから怒りや不安へと弱まって「イライラさせる, 悩ませる」という意味になった。&lt;/span&gt;</t>
  </si>
  <si>
    <t>odium（憎しみ）
&lt;span class="spacer"&gt;&lt;/span&gt;in odio（憎しみの中にある）</t>
  </si>
  <si>
    <t>dangerの動詞として覚える。</t>
  </si>
  <si>
    <t>&lt;span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t>
  </si>
  <si>
    <t>dangier
権力, 害を及ぼす力
誰かの支配下にあって権力者の裁量に委ねられている危険な状態</t>
  </si>
  <si>
    <t>&lt;span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t>
  </si>
  <si>
    <t>15世紀後期
古英語oncnawanに由来するaknowen（知っていることを認める）
&lt;span class="spacer"&gt;&lt;/span&gt;knowlechen（認める）
&lt;span class="spacer"&gt;&lt;/span&gt;この2語が混ざり合った語
自分の知識を認める</t>
  </si>
  <si>
    <t>admireのmire部分は、miracleやmarvelと関連して「驚き」というイメージ。</t>
  </si>
  <si>
    <t>value（価値）と関連させて覚える。</t>
  </si>
  <si>
    <t>&lt;span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t>
  </si>
  <si>
    <t>declareのclare部分は、clear（クリアな）と同じ語源に由来する。</t>
  </si>
  <si>
    <t>名詞secutiry（セキュリティ）の動詞として覚えればよい。</t>
  </si>
  <si>
    <t>&lt;span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t>
  </si>
  <si>
    <t>special（特別な, 特定な）が動詞化したと覚えればよい。
またspecialist（専門家）と関連させて覚える。</t>
  </si>
  <si>
    <t>&lt;span class="w"&gt;&lt;b&gt;【722.specialize：専門とする, 大学で専攻する】&lt;/b&gt;&lt;/span&gt;
&lt;span class="ml"&gt;近代英語にさかのぼり、以下の2つの要素から成る。
&lt;span class="spacer"&gt;&lt;/span&gt;special（特別な, 特定の）
ize（動詞化）
&lt;span class="spacer"&gt;&lt;/span&gt;この語の核は「全体の中から特定のものにする」。ここから、特定の分野や事業に従事する、つまり「専門とする」という意味になる。大学であれば、何かを「専攻する」という意味になる。&lt;/span&gt;</t>
  </si>
  <si>
    <t>attributeのtrib部分は、tribe（部族）と同じ語源に由来する。
contribute, distributeとセットで覚える。</t>
  </si>
  <si>
    <t>buryは「見えないように隠す」というイメージ。</t>
  </si>
  <si>
    <t>&lt;span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t>
  </si>
  <si>
    <t>byrgan（盛り土をする, 隠す, 埋葬する）
&lt;span class="spacer"&gt;&lt;/span&gt;&lt;span class="obsolete"&gt;古英語byrganの-y-の発音は、もとは短い「ユ」という音。通常この音は現代英語では /i/ （イ）の音に変化したが、buryはイングランド南東部（ケント地方）特有の /e/ （エ）への変化が保持され、「ベリィ」という発音になっている。&lt;/span&gt;</t>
  </si>
  <si>
    <t>日本語のリバースと同じ。またゲームのオセロの一般名称はリバーシ（オセロは商標）。</t>
  </si>
  <si>
    <t>&lt;span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t>
  </si>
  <si>
    <t>sist（立つ）系はまとめて覚える。</t>
  </si>
  <si>
    <t>scarecrow（かかし）や形容詞scary（恐ろしい）と関連させて覚える。</t>
  </si>
  <si>
    <t>imageやimagineとセットで覚える。</t>
  </si>
  <si>
    <t>sist（立たせる）系はまとめて覚える。</t>
  </si>
  <si>
    <t>&lt;span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t>
  </si>
  <si>
    <t>same（同じ）やsimilar（似た）と関連させて覚える。</t>
  </si>
  <si>
    <t>12世紀
resembler
re（強意）＋sembler（〜のように見える, 〜に似ている）</t>
  </si>
  <si>
    <t>日本語のリタイアと同じ。</t>
  </si>
  <si>
    <t>&lt;span class="w"&gt;&lt;b&gt;【732.retire：引退する, 退職する, 退く】&lt;/b&gt;&lt;/span&gt;
&lt;span class="ml"&gt;フランス語に由来する語で、以下の2つの要素から成る。
&lt;span class="spacer"&gt;&lt;/span&gt;re（後ろへ）
tirer（引く）
&lt;span class="spacer"&gt;&lt;/span&gt;このまま日本語にすると「後ろへ引く」となる。これは引き下がることから「引退する, 退職する, 退く」という意味になる。&lt;/span&gt;</t>
  </si>
  <si>
    <t>neglectは、neg部分が「否定」で、lect部分は「拾う」という意味（collectと同じ）。</t>
  </si>
  <si>
    <t>&lt;span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t>
  </si>
  <si>
    <t>&lt;span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t>
    <phoneticPr fontId="1"/>
  </si>
  <si>
    <t>&lt;span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t>
    <phoneticPr fontId="1"/>
  </si>
  <si>
    <t>&lt;span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t>
    <phoneticPr fontId="1"/>
  </si>
  <si>
    <t>&lt;span class="w"&gt;&lt;b&gt;【689.frequent：頻繁な】&lt;/b&gt;&lt;/span&gt;
&lt;span class="ml"&gt;ラテン語frequentem（数が多い, 混み合った, 規則的な, 繰り返される）に由来する。
&lt;span class="spacer"&gt;&lt;/span&gt;もともとは、数が多い・混み合ったという物理的に密集していることを表した。そして、人や物が空間にぎっしりと詰まっているというイメージが、やがて時間的な感覚へと変化する。ある期間の中に出来事がぎっしり詰まって起きている、つまり「何度も繰り返し起きる」ということを表すようになり、「頻繁な」という意味になった。
&lt;div class="sample_image frequent"&gt;&lt;/div&gt;&lt;/span&gt;</t>
    <phoneticPr fontId="1"/>
  </si>
  <si>
    <t>&lt;span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t>
    <phoneticPr fontId="1"/>
  </si>
  <si>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</si>
  <si>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t>
  </si>
  <si>
    <t>&lt;span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t>
  </si>
  <si>
    <t>&lt;span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t>
  </si>
  <si>
    <t>&lt;span class="w"&gt;&lt;b&gt;【714.exhaust：〜を疲れ果てさせる, 〜を使い果たす】&lt;/b&gt;&lt;/span&gt;
&lt;span class="ml"&gt;ラテン語に由来する語で、以下の2つの要素から成る。
&lt;span class="spacer"&gt;&lt;/span&gt;ex（完全に）
haurire（汲み上げる）
&lt;span class="spacer"&gt;&lt;/span&gt;このまま日本語にすると「（液体などを）完全に汲み出す」となる。空になるまで汲み上げるイメージから、いまある金・物・体力・できることなどが空になるまで何かをすることを表し、「疲れ果てさせる, 使い果たす」という意味になる。
&lt;div class="sample_image exhaust"&gt;&lt;/div&gt;&lt;/span&gt;</t>
  </si>
  <si>
    <t>&lt;span class="w"&gt;&lt;b&gt;【718.admire：〜に感心する, 〜に敬服する】&lt;/b&gt;&lt;/span&gt;
&lt;span class="ml"&gt;ラテン語に由来する語で、以下の2つの要素から成る。
&lt;span class="spacer"&gt;&lt;/span&gt;ad（〜へ）
mirus（素晴らしい）から派生したmirari（驚く）
&lt;span class="spacer"&gt;&lt;/span&gt;このまま日本語にすると「〜へ驚く」となる。もともとは、驚きの眼差しを向けることを表した。そこから、さらに単なる驚きだけではなく感心や敬意が含まれて「感心する, 敬服する」という意味になった。
&lt;div class="sample_image admire"&gt;&lt;/div&gt;
&lt;span class="spacer"&gt;&lt;/span&gt;ラテン語mirusからは、以下の英語も生まれている。
miracle（奇跡, 人智を超えた驚き）
marvel（驚くべきこと・もの）&lt;/span&gt;</t>
  </si>
  <si>
    <t>&lt;span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t>
  </si>
  <si>
    <t>&lt;span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t>
  </si>
  <si>
    <t>&lt;span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t>
  </si>
  <si>
    <t>&lt;span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t>
  </si>
  <si>
    <t>&lt;span class="w"&gt;&lt;b&gt;【728.scare：〜を怖がらせる, 〜を脅す】&lt;/b&gt;&lt;/span&gt;
&lt;span class="ml"&gt;古ノルド語skirra（怖がらせる, 恐れて避ける）に由来する。
&lt;span class="spacer"&gt;&lt;/span&gt;古ノルド語から意味の変化はほとんどない。田畑に置かれるカラスなどの鳥を追い払うカカシは、英語でscarecrowと呼ばれる。これはカラス（crow）を怖がらせて（scare）追い払うことに由来する。
&lt;div class="sample_image scare"&gt;&lt;/div&gt;&lt;/span&gt;</t>
  </si>
  <si>
    <t>&lt;span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t>
  </si>
  <si>
    <t>&lt;span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t>
  </si>
  <si>
    <t>&lt;span class="w"&gt;&lt;b&gt;【734.collapse：崩壊する, （人が）倒れる, 〜を折りたたむ】&lt;/b&gt;&lt;/span&gt;
&lt;span class="ml"&gt;ラテン語に由来する語で、以下の2つの要素から成る。
&lt;span class="spacer"&gt;&lt;/span&gt;com（共に）
labi（滑る, 落ちる）
&lt;span class="spacer"&gt;&lt;/span&gt;このまま日本語にすると「共に滑り落ちる」となる。これは、支えを失ったように全体が一緒に滑り落ちるイメージ。そこから「崩壊する」という意味になる。
&lt;span class="spacer"&gt;&lt;/span&gt;また人が支えを失ったように崩れ落ちることは「倒れる」、物（たとえば机や椅子）が支えを失ったように倒れることは「折りたたむ」という意味になる。
&lt;div class="sample_image collapse"&gt;&lt;/div&gt;&lt;/span&gt;</t>
  </si>
  <si>
    <t>&lt;span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t>
  </si>
  <si>
    <t>protestのtest部分は「証言」と結びつく。</t>
  </si>
  <si>
    <t>&lt;span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t>
  </si>
  <si>
    <t>testis（証人）
&lt;span class="spacer"&gt;&lt;/span&gt;動詞になって
testari（証言する）
&lt;span class="spacer"&gt;&lt;/span&gt;pro（前へ）＋testari（証言する）
protestari（証言する, 公に宣言する, 抗議する）</t>
  </si>
  <si>
    <t>1600年頃
提案・実行された行為や手段を非難するために正式な宣言を行う
抗議する</t>
  </si>
  <si>
    <t>&lt;span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t>
  </si>
  <si>
    <t>SDGsのS＝sustainable（持続可能）と関連させて覚える。
またtain（保つ）系はまとめて覚える。</t>
  </si>
  <si>
    <t>&lt;span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t>
  </si>
  <si>
    <t>sub（下から）＋tenere（保つ, 保持する）
sustinere（支え持つ, 耐える）</t>
  </si>
  <si>
    <t>&lt;span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t>
  </si>
  <si>
    <t>completeと語源的に関連するので、「何かをコンプリートする」というイメージで覚えればよい。</t>
  </si>
  <si>
    <t>&lt;span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t>
  </si>
  <si>
    <t>形容詞wise（賢い）の名詞として覚えればよい。</t>
  </si>
  <si>
    <t>&lt;span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t>
  </si>
  <si>
    <t>literacyのlitera部分は、letter（文字）と同じ。</t>
  </si>
  <si>
    <t>&lt;span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t>
  </si>
  <si>
    <t>World Heritage Site（世界遺産）と関連させて覚える。</t>
  </si>
  <si>
    <t>&lt;span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t>
  </si>
  <si>
    <t>&lt;span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t>
  </si>
  <si>
    <t>mittere（放つ, 送る）
&lt;span class="spacer"&gt;&lt;/span&gt;名詞を作る-ioが付いて
missio（送ること, 派遣）</t>
  </si>
  <si>
    <t>日本語でも使われるlicense（ライセンス, 免許証）と関連させて覚える。</t>
  </si>
  <si>
    <t>&lt;span class="w"&gt;&lt;b&gt;【745.license：免許（証）, 許可】&lt;/b&gt;&lt;/span&gt;
&lt;span class="ml"&gt;ラテン語に由来する語で、以下の2つの要素から成る。
&lt;span class="spacer"&gt;&lt;/span&gt;licere（許される）
ia（名詞化）
&lt;span class="spacer"&gt;&lt;/span&gt;このまま日本語にすると「許されること」となる。権威あるものから与えられた許可、つまり法的な許可を表すようになり、「免許証, 許可」という意味になった。&lt;/span&gt;</t>
  </si>
  <si>
    <t>日本語でも使われるエリートと同じ。</t>
  </si>
  <si>
    <t>動詞lay（横たえる）にer（〜するもの, 〜する人）が付いた語。
layerは「横たわっているもの＝層」というイメージ。</t>
  </si>
  <si>
    <t>日本語でも使われるモーター（原動力）と同じ。
move（動かす）にor（〜するもの）が付いたと考えればよい。</t>
  </si>
  <si>
    <t>日本語でも使われるプロテイン（タンパク質）と同じ。
※発音は異なるので注意。</t>
  </si>
  <si>
    <t>1838年
オランダ人の化学者ムルダーが造語
ギリシャ語prōteios（最も重要な）＋ine（化学物質名を表す）
protéine</t>
  </si>
  <si>
    <t>日本語でも使われるプロ, プロフェッショナルと同じ。</t>
  </si>
  <si>
    <t>pro（前へ）＋fateri（話す, 告げる）
profiteri（公に宣言する）
&lt;span class="spacer"&gt;&lt;/span&gt;名詞を作る-ioが付いて
professio（公の宣言）</t>
  </si>
  <si>
    <t>日本語でも使われるエディター（編集者, 編集するもの）と関連させて覚える。</t>
  </si>
  <si>
    <t>agentのag部分は、actやagendaと同じ語源に由来する。</t>
  </si>
  <si>
    <t>agere（動かす, 行う, 駆り立てる）
&lt;span class="spacer"&gt;&lt;/span&gt;現在分詞agens（強力な, 効果的な）</t>
  </si>
  <si>
    <t>日本語でも使われるglobal（グローバル, 世界的な）と関連させて覚える。
globeは「球体」というイメージ。</t>
  </si>
  <si>
    <t>&lt;span class="w"&gt;&lt;b&gt;【753.globe：地球, 世界, 球】&lt;/b&gt;&lt;/span&gt;
&lt;span class="ml"&gt;ラテン語globus（丸い塊, 球）に由来する。
&lt;span class="spacer"&gt;&lt;/span&gt;この語の核は「丸い塊」。そこから「球」という意味になる。また大きな丸い塊として「地球」や「世界」という意味にもなる。&lt;/span&gt;</t>
  </si>
  <si>
    <t>havenは「港のような安全な場所」というイメージ。</t>
  </si>
  <si>
    <t>&lt;span class="w"&gt;&lt;b&gt;【754.haven：避難所, 保護区】&lt;/b&gt;&lt;/span&gt;
&lt;span class="ml"&gt;古英語hæfen（港）にさかのぼる。
&lt;span class="spacer"&gt;&lt;/span&gt;港は船にとって安全な場所であることから「避難所, 保護区」という意味になった。&lt;/span&gt;</t>
  </si>
  <si>
    <t>&lt;span class="w"&gt;&lt;b&gt;【755.row：列】&lt;/b&gt;&lt;/span&gt;
&lt;span class="ml"&gt;古英語ræw（列, 並び）にさかのぼる。
&lt;span class="spacer"&gt;&lt;/span&gt;古英語から意味の変化はほとんどない。&lt;/span&gt;</t>
  </si>
  <si>
    <t>&lt;span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t>
  </si>
  <si>
    <t>日本語でも使われるスポーツのリーグと同じ。</t>
  </si>
  <si>
    <t>&lt;span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t>
  </si>
  <si>
    <t>日本語でも使われるコンテストと同じ。</t>
  </si>
  <si>
    <t>&lt;span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t>
  </si>
  <si>
    <t>ボディガードのガードと同じ。</t>
  </si>
  <si>
    <t>&lt;span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t>
  </si>
  <si>
    <t>oppose（反対する）と関連させて覚える。</t>
  </si>
  <si>
    <t>&lt;span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t>
  </si>
  <si>
    <t>&lt;span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t>
  </si>
  <si>
    <t>動詞meanとは関係がない。
meansのme部分は、mediaやmiddleなどと同じで「中間」。</t>
  </si>
  <si>
    <t>&lt;span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t>
  </si>
  <si>
    <t>&lt;span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t>
  </si>
  <si>
    <t>&lt;span class="w"&gt;&lt;b&gt;【763.glance：ちらっと見ること】&lt;/b&gt;&lt;/span&gt;
&lt;span class="ml"&gt;ラテン語glacies（氷）に由来する。
&lt;span class="spacer"&gt;&lt;/span&gt;もともとは、氷の上を滑るというイメージから、相手の攻撃が氷のように滑って斜めにかすめるという物理的な動きを表した。
&lt;span class="spacer"&gt;&lt;/span&gt;そこに、発音が似た別の単語（横目で見る）の影響があり、攻撃がかすめるように視線を瞬間的に滑らせる＝「ちらっと見ること」という意味になった。
&lt;div class="sample_image glance"&gt;&lt;/div&gt;&lt;/span&gt;</t>
  </si>
  <si>
    <t>&lt;span class="w"&gt;&lt;b&gt;【766.liquid：液体】&lt;/b&gt;&lt;/span&gt;
&lt;span class="ml"&gt;ラテン語に由来する語で、以下の2つの要素から成る。
&lt;span class="spacer"&gt;&lt;/span&gt;liquere（流動する）
idus（形容詞化）
&lt;span class="spacer"&gt;&lt;/span&gt;もともとは流動する性質を持つことを表す形容詞だったが、名詞として使われるようになり「液体」という意味になった。&lt;/span&gt;</t>
  </si>
  <si>
    <t>equal（平等な）の名詞equality（平等）の否定。</t>
  </si>
  <si>
    <t>&lt;span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t>
  </si>
  <si>
    <t>prejudiceのjudice部分は、judgeと同じだと覚えればよい。</t>
  </si>
  <si>
    <t>&lt;span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t>
  </si>
  <si>
    <t>日本語でも使われるジャスティス（正義）と同じ。</t>
  </si>
  <si>
    <t>&lt;span class="w"&gt;&lt;b&gt;【769.justice：公正, 正義, 司法】&lt;/b&gt;&lt;/span&gt;
&lt;span class="ml"&gt;ラテン語ius（法）に由来する。
&lt;span class="spacer"&gt;&lt;/span&gt;この語の核は「法」。法を司る「司法」や、法や道徳に基づく「正義」や「公正」という意味になる。&lt;/span&gt;</t>
  </si>
  <si>
    <t>日本語でも使われるガイドラインと同じ。</t>
  </si>
  <si>
    <t>&lt;span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t>
  </si>
  <si>
    <t>platformのplat部分は、flat（フラットな, 平らな）やplate（プレート, 皿）と同じ語源にさかのぼる。</t>
  </si>
  <si>
    <t>&lt;span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t>
  </si>
  <si>
    <t>canal（運河）と関連させて覚える。</t>
  </si>
  <si>
    <t>glance（ちらっと見る）と同じ語源にさかのぼる。</t>
  </si>
  <si>
    <t>&lt;span class="w"&gt;&lt;b&gt;【774.glacier：氷河】&lt;/b&gt;&lt;/span&gt;
&lt;span class="ml"&gt;ラテン語glacies（氷）に由来する。
&lt;span class="spacer"&gt;&lt;/span&gt;もともとは氷を表す言葉だったが、移動する氷＝「氷河」を表すようになった。
&lt;span class="spacer"&gt;&lt;/span&gt;ラテン語glacies（氷）のもとになった印欧祖語*gel-（冷たい, 凍る）からはcoldやcoolが生まれている。&lt;/span&gt;</t>
  </si>
  <si>
    <t>&lt;span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t>
  </si>
  <si>
    <t>use（使う）の名詞として覚える。</t>
  </si>
  <si>
    <t>fortunately（幸運にも）やunfortunately（不運にも）と関連させて覚える。</t>
  </si>
  <si>
    <t>&lt;span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t>
  </si>
  <si>
    <t>relate（関連する）やrelation（関係, つながり）と関連させて覚える。</t>
  </si>
  <si>
    <t>&lt;span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t>
  </si>
  <si>
    <t>&lt;span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t>
  </si>
  <si>
    <t>literaryのlitera部分はletter（文字）と同じ。
literature（文学）と関連させて覚える。</t>
  </si>
  <si>
    <t>&lt;span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t>
  </si>
  <si>
    <t>class（階級, クラス）と関連させて覚える。</t>
  </si>
  <si>
    <t>&lt;span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t>
  </si>
  <si>
    <t>classis（階級, ローマ市民を分けた6つの階級）
&lt;span class="spacer"&gt;&lt;/span&gt;形容詞を作る-icusが付いて
classicus（ローマ市民の最上位の階級に関する, 優れた, 一流の）</t>
  </si>
  <si>
    <t>The Statue of Liberty（自由の女神）のliberty（自由）と関連させて覚える。</t>
  </si>
  <si>
    <t>&lt;span class="w"&gt;&lt;b&gt;【784.slight：わずかな, 取るにたらない】&lt;/b&gt;&lt;/span&gt;
&lt;span class="ml"&gt;中英語にさかのぼる。
&lt;span class="spacer"&gt;&lt;/span&gt;もともとは「なめらか・平ら」ということを表した。そこから厚みがなく、ほっそりして細く、大したものではないというイメージになり、「取るにならない, わずかな」という意味になった。&lt;/span&gt;</t>
  </si>
  <si>
    <t>アメリカのFBI（連邦捜査局）と関連させて覚える。
Federal（連邦の）
Bureau（局・機関）
Investigation（捜査）</t>
  </si>
  <si>
    <t>&lt;span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t>
  </si>
  <si>
    <t>&lt;span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t>
  </si>
  <si>
    <t>familiar（よく知っている, よく知られている）と関連させて覚える。</t>
  </si>
  <si>
    <t>&lt;span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t>
  </si>
  <si>
    <t>texere（織る）から派生したtela（経糸, 網）
&lt;span class="spacer"&gt;&lt;/span&gt;sub（〜の下へ）＋tele（経糸, 網）
経糸（たていと）の下を細かく通る横糸
&lt;span class="spacer"&gt;&lt;/span&gt;subtilis（きめ細かく織られた, 細い, 薄い）</t>
  </si>
  <si>
    <t>explainや日本語のプレーン味と関連させて覚える。</t>
  </si>
  <si>
    <t>&lt;span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t>
  </si>
  <si>
    <t>&lt;span class="w"&gt;&lt;b&gt;【790.marine：海の】&lt;/b&gt;&lt;/span&gt;
&lt;span class="ml"&gt;ラテン語に由来する語で、以下の2つの要素から成る。
&lt;span class="spacer"&gt;&lt;/span&gt;mare（海）
inus（形容詞化）
&lt;span class="spacer"&gt;&lt;/span&gt;このまま日本語にすると「海の」という意味になる。&lt;/span&gt;</t>
  </si>
  <si>
    <t>&lt;span class="w"&gt;&lt;b&gt;【792.reluctant：気が進まない】&lt;/b&gt;&lt;/span&gt;
&lt;span class="ml"&gt;ラテン語に由来する語で、以下の2つの要素から成る。
&lt;span class="spacer"&gt;&lt;/span&gt;re（対して）
luctari（もがく）
&lt;span class="spacer"&gt;&lt;/span&gt;このまま日本語にすると「何かに対してもがく」となる。やりたくないことに対してもがくという抵抗感から、何かに対して「気が進まない」という意味になった。
&lt;span class="spacer"&gt;&lt;/span&gt;be reluctant to doは、何かをすることに対して（やりたくなくて）もがく＝「〜することに気が進まない」となる。&lt;/span&gt;</t>
  </si>
  <si>
    <t>re（〜に対して）＋luctari（もがく）
reluctari（逆らって闘う, 抵抗する）
&lt;span class="spacer"&gt;&lt;/span&gt;現在分詞reluctans</t>
  </si>
  <si>
    <t>日本語でも使われるtempo（テンポ）と関連させて覚える。</t>
  </si>
  <si>
    <t>&lt;span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t>
  </si>
  <si>
    <t>日本語でも使われるギルティ（罪がある）と関連させて覚える。</t>
  </si>
  <si>
    <t>&lt;span class="w"&gt;&lt;b&gt;【794.guilty：罪悪感のある, 有罪の】&lt;/b&gt;&lt;/span&gt;
&lt;span class="ml"&gt;古英語gylt（罪）にさかのぼる。
&lt;span class="spacer"&gt;&lt;/span&gt;法的な意味で罪を犯している、つまり「有罪の」という意味になった。そしてそこから、法的な罪ではなく、道徳的・心理的な罪の意識から「罪悪感のある」という意味になった。&lt;/span&gt;</t>
  </si>
  <si>
    <t>恐竜の王ティラノサウルスはT-REXと呼ばれる。このREXは「王」を意味するラテン語で、royalの語源。</t>
  </si>
  <si>
    <t>&lt;span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t>
  </si>
  <si>
    <t>日本語でも使われるpure（ピュアな, 純粋な）と関連させて覚える。</t>
  </si>
  <si>
    <t>&lt;span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t>
  </si>
  <si>
    <t>&lt;span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t>
  </si>
  <si>
    <t>&lt;span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t>
  </si>
  <si>
    <t>adequateのequ部分はequal（イコール）と同じ。</t>
  </si>
  <si>
    <t>aequus（平らな, 均一な：equalの語源）
&lt;span class="spacer"&gt;&lt;/span&gt;動詞になって
aequare（等しくする）
&lt;span class="spacer"&gt;&lt;/span&gt;ad（〜へ）＋aequare（等しくする）
adaequare（〜と等しくする）
&lt;span class="spacer"&gt;&lt;/span&gt;過去分詞adaequatus（等しくされた）</t>
  </si>
  <si>
    <t>&lt;span class="w"&gt;&lt;b&gt;【800.via：〜経由で】&lt;/b&gt;&lt;/span&gt;
&lt;span class="ml"&gt;ラテン語via（道, 〜経由で）に由来する。
&lt;span class="spacer"&gt;&lt;/span&gt;ラテン語から意味の変化はほとんどなく「〜経由で」という意味になる。&lt;/span&gt;</t>
  </si>
  <si>
    <t>&lt;span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t>
    <phoneticPr fontId="1"/>
  </si>
  <si>
    <t>&lt;span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t>
    <phoneticPr fontId="1"/>
  </si>
  <si>
    <t>&lt;span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t>
    <phoneticPr fontId="1"/>
  </si>
  <si>
    <t>sug</t>
  </si>
  <si>
    <t>gest</t>
  </si>
  <si>
    <t>cern</t>
  </si>
  <si>
    <t>scribe</t>
  </si>
  <si>
    <t>volve</t>
  </si>
  <si>
    <t>void</t>
  </si>
  <si>
    <t>late</t>
  </si>
  <si>
    <t>real</t>
  </si>
  <si>
    <t>courage</t>
  </si>
  <si>
    <t>pare</t>
  </si>
  <si>
    <t>ject</t>
  </si>
  <si>
    <t>mand</t>
  </si>
  <si>
    <t>plete</t>
  </si>
  <si>
    <t>cord</t>
  </si>
  <si>
    <t>est</t>
  </si>
  <si>
    <t>viron</t>
  </si>
  <si>
    <t>species</t>
  </si>
  <si>
    <t>bene</t>
  </si>
  <si>
    <t>iss</t>
  </si>
  <si>
    <t>peri</t>
  </si>
  <si>
    <t>quality</t>
  </si>
  <si>
    <t>state</t>
  </si>
  <si>
    <t>materi</t>
  </si>
  <si>
    <t>muni</t>
  </si>
  <si>
    <t>techno</t>
  </si>
  <si>
    <t>cult</t>
  </si>
  <si>
    <t>dividu</t>
  </si>
  <si>
    <t>mon</t>
  </si>
  <si>
    <t>cent</t>
  </si>
  <si>
    <t>cul</t>
  </si>
  <si>
    <t>physic</t>
  </si>
  <si>
    <t>rect</t>
  </si>
  <si>
    <t>spite</t>
  </si>
  <si>
    <t>proach</t>
  </si>
  <si>
    <t>imagine</t>
  </si>
  <si>
    <t>cur</t>
  </si>
  <si>
    <t>argue</t>
  </si>
  <si>
    <t>claim</t>
  </si>
  <si>
    <t>gain</t>
  </si>
  <si>
    <t>chie</t>
  </si>
  <si>
    <t>ve</t>
  </si>
  <si>
    <t>sta</t>
  </si>
  <si>
    <t>men</t>
  </si>
  <si>
    <t>municate</t>
  </si>
  <si>
    <t>indu</t>
  </si>
  <si>
    <t>stry</t>
  </si>
  <si>
    <t>mo</t>
  </si>
  <si>
    <t>dec</t>
  </si>
  <si>
    <t>met</t>
  </si>
  <si>
    <t>sour</t>
  </si>
  <si>
    <t>ce</t>
  </si>
  <si>
    <t>reg</t>
  </si>
  <si>
    <t>func</t>
  </si>
  <si>
    <t>atti</t>
  </si>
  <si>
    <t>stance</t>
  </si>
  <si>
    <t>negat</t>
  </si>
  <si>
    <t>plex</t>
  </si>
  <si>
    <t>current</t>
  </si>
  <si>
    <t>essent</t>
  </si>
  <si>
    <t>academ</t>
  </si>
  <si>
    <t>potent</t>
  </si>
  <si>
    <t>digit</t>
  </si>
  <si>
    <t>bile</t>
  </si>
  <si>
    <t>plast</t>
  </si>
  <si>
    <t>event</t>
  </si>
  <si>
    <t>identi</t>
  </si>
  <si>
    <t>gnore</t>
  </si>
  <si>
    <t>apt</t>
  </si>
  <si>
    <t>play</t>
  </si>
  <si>
    <t>move</t>
  </si>
  <si>
    <t>sire</t>
  </si>
  <si>
    <t>suc</t>
  </si>
  <si>
    <t>audi</t>
  </si>
  <si>
    <t>techn</t>
  </si>
  <si>
    <t>cest</t>
  </si>
  <si>
    <t>gnit</t>
  </si>
  <si>
    <t>uni</t>
  </si>
  <si>
    <t>equ</t>
  </si>
  <si>
    <t>leg</t>
  </si>
  <si>
    <t>dependent</t>
  </si>
  <si>
    <t>actu</t>
  </si>
  <si>
    <t>will</t>
  </si>
  <si>
    <t>urb</t>
  </si>
  <si>
    <t>lease</t>
  </si>
  <si>
    <t>vide</t>
  </si>
  <si>
    <t>ju</t>
  </si>
  <si>
    <t>su</t>
  </si>
  <si>
    <t>story</t>
  </si>
  <si>
    <t>pheno</t>
  </si>
  <si>
    <t>circum</t>
  </si>
  <si>
    <t>campa</t>
  </si>
  <si>
    <t>foss</t>
  </si>
  <si>
    <t>docu</t>
  </si>
  <si>
    <t>voca</t>
  </si>
  <si>
    <t>bul</t>
  </si>
  <si>
    <t>sci</t>
  </si>
  <si>
    <t>cap</t>
  </si>
  <si>
    <t>funda</t>
  </si>
  <si>
    <t>rur</t>
  </si>
  <si>
    <t>nu</t>
  </si>
  <si>
    <t>visu</t>
  </si>
  <si>
    <t>venient</t>
  </si>
  <si>
    <t>ducate</t>
  </si>
  <si>
    <t>pur</t>
  </si>
  <si>
    <t>mend</t>
  </si>
  <si>
    <t>vertise</t>
  </si>
  <si>
    <t>pair</t>
  </si>
  <si>
    <t>lig</t>
  </si>
  <si>
    <t>sence</t>
  </si>
  <si>
    <t>cas</t>
  </si>
  <si>
    <t>multi</t>
  </si>
  <si>
    <t>known</t>
  </si>
  <si>
    <t>pret</t>
  </si>
  <si>
    <t>critic</t>
  </si>
  <si>
    <t>dif</t>
  </si>
  <si>
    <t>emphas</t>
  </si>
  <si>
    <t>ploy</t>
  </si>
  <si>
    <t>facture</t>
  </si>
  <si>
    <t>migrat</t>
  </si>
  <si>
    <t>rout</t>
  </si>
  <si>
    <t>stat</t>
  </si>
  <si>
    <t>gredi</t>
  </si>
  <si>
    <t>vit</t>
  </si>
  <si>
    <t>min</t>
  </si>
  <si>
    <t>bandon</t>
  </si>
  <si>
    <t>trace</t>
  </si>
  <si>
    <t>fright</t>
  </si>
  <si>
    <t>cal</t>
  </si>
  <si>
    <t>liminate</t>
  </si>
  <si>
    <t>sequ</t>
    <phoneticPr fontId="1"/>
  </si>
  <si>
    <t>cid</t>
    <phoneticPr fontId="1"/>
  </si>
  <si>
    <t>mum</t>
  </si>
  <si>
    <t>cep</t>
  </si>
  <si>
    <t>habitat</t>
  </si>
  <si>
    <t>district</t>
  </si>
  <si>
    <t>serva</t>
  </si>
  <si>
    <t>operat</t>
    <phoneticPr fontId="1"/>
  </si>
  <si>
    <t>puta</t>
  </si>
  <si>
    <t>tinct</t>
    <phoneticPr fontId="1"/>
  </si>
  <si>
    <t>domin</t>
    <phoneticPr fontId="1"/>
  </si>
  <si>
    <t>ate</t>
    <phoneticPr fontId="1"/>
  </si>
  <si>
    <t>barrass</t>
  </si>
  <si>
    <t>lite</t>
  </si>
  <si>
    <t>jus</t>
  </si>
  <si>
    <t>ti</t>
  </si>
  <si>
    <t>rela</t>
  </si>
  <si>
    <t>crete</t>
  </si>
  <si>
    <t>stand</t>
  </si>
  <si>
    <t>brace</t>
  </si>
  <si>
    <t>modi</t>
  </si>
  <si>
    <t>quali</t>
  </si>
  <si>
    <t>faith</t>
  </si>
  <si>
    <t>lus</t>
  </si>
  <si>
    <t>pleas</t>
  </si>
  <si>
    <t>Arct</t>
  </si>
  <si>
    <t>privi</t>
  </si>
  <si>
    <t>lege</t>
  </si>
  <si>
    <t>mens</t>
  </si>
  <si>
    <t>radic</t>
  </si>
  <si>
    <t>vulner</t>
  </si>
  <si>
    <t>hybrid</t>
    <phoneticPr fontId="1"/>
  </si>
  <si>
    <t>pens</t>
    <phoneticPr fontId="1"/>
  </si>
  <si>
    <t>wor</t>
  </si>
  <si>
    <t>standing</t>
  </si>
  <si>
    <t>finite</t>
  </si>
  <si>
    <t>while</t>
  </si>
  <si>
    <t>dispens</t>
  </si>
  <si>
    <t>puls</t>
  </si>
  <si>
    <t>prob</t>
  </si>
  <si>
    <t>ambi</t>
  </si>
  <si>
    <t>g</t>
  </si>
  <si>
    <t>uous</t>
  </si>
  <si>
    <t>scure</t>
  </si>
  <si>
    <t>skept</t>
  </si>
  <si>
    <t>ile</t>
  </si>
  <si>
    <t>gradu</t>
  </si>
  <si>
    <t>voc</t>
  </si>
  <si>
    <t>viv</t>
  </si>
  <si>
    <t>carce</t>
  </si>
  <si>
    <t>her</t>
  </si>
  <si>
    <t>nota</t>
  </si>
  <si>
    <t>related19</t>
  </si>
  <si>
    <t>related20</t>
  </si>
  <si>
    <t>related21</t>
  </si>
  <si>
    <t>related22</t>
  </si>
  <si>
    <t>related23</t>
  </si>
  <si>
    <t>related24</t>
  </si>
  <si>
    <t>related25</t>
  </si>
  <si>
    <t>related26</t>
  </si>
  <si>
    <t>related27</t>
  </si>
  <si>
    <t>related28</t>
  </si>
  <si>
    <t>related29</t>
  </si>
  <si>
    <t>related30</t>
  </si>
  <si>
    <t>related18</t>
    <phoneticPr fontId="1"/>
  </si>
  <si>
    <t>rect（まっすぐ導く）系はまとめて覚える。correctは「まっすぐ導かれていて正しい」というイメージ。</t>
  </si>
  <si>
    <t>日本語でも使われるトロピカル（熱帯の）と関連させて覚える。</t>
  </si>
  <si>
    <t>&lt;span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t>
  </si>
  <si>
    <t>&lt;span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t>
  </si>
  <si>
    <t>&lt;span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t>
  </si>
  <si>
    <t>&lt;span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t>
  </si>
  <si>
    <t>prove（証明する）と関連させて覚える。</t>
  </si>
  <si>
    <t>&lt;span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t>
  </si>
  <si>
    <t>probus（良い, 正直な）
&lt;span class="spacer"&gt;&lt;/span&gt;動詞になって
probare（良いかどうかを確認するために試す, 良いとわかる）
&lt;span class="spacer"&gt;&lt;/span&gt;ad（〜へ）＋probare
approbare（〜へよいものとして認める, 承認する, 賛成する）</t>
  </si>
  <si>
    <t>&lt;span class="w"&gt;&lt;b&gt;【803.remark：～と述べる】&lt;/b&gt;&lt;/span&gt;
&lt;span class="ml"&gt;フランス語に由来する語で、以下の2つの要素から成る。
&lt;span class="spacer"&gt;&lt;/span&gt;re（強意）
marquer（印をつける）
&lt;span class="spacer"&gt;&lt;/span&gt;このまま日本語にすると「はっきり印をつける」となる。もともとは、あるものに印をつけて他のものから区別することを表した。そこから心理的な意味へとシフトし、（他ではなく）あるものを心に留めたり、注意したりすることになった。さらに発展して、気になるところを言語化する行為、つまり「述べる」という意味になった。
&lt;div class="sample_image remark"&gt;&lt;/div&gt;&lt;/span&gt;</t>
  </si>
  <si>
    <t>&lt;span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t>
  </si>
  <si>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</si>
  <si>
    <t>&lt;span class="w"&gt;&lt;b&gt;【805.yield：～を生み出す, （to）屈する, （to）～を譲る】&lt;/b&gt;&lt;/span&gt;
&lt;span class="ml"&gt;古英語gieldan / geldan（支払う, 報いる, 与える）にさかのぼる。
&lt;span class="spacer"&gt;&lt;/span&gt;この語の核は「何かを与える」。外部に何かを出して与えることから「何かを生み出す, 産出する」という意味になった。また自分自身や自分の何かを相手に与える場合は「屈する, 譲る」という意味になる。&lt;/span&gt;</t>
  </si>
  <si>
    <t>gieldan / geldan
支払う, 報いる, 与える</t>
  </si>
  <si>
    <t>日本語でも使われるエキシビション（展覧会）と関連させて覚える。</t>
  </si>
  <si>
    <t>&lt;span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t>
  </si>
  <si>
    <t>&lt;span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t>
  </si>
  <si>
    <t>ゲームのコマンド（ボタンを押して入力する命令）と関連させて覚える。コントローラーの右ボタンを押すと右に移動するのは、「右へ移動させろ」という命令が実行されるから。</t>
  </si>
  <si>
    <t>&lt;span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t>
  </si>
  <si>
    <t>&lt;span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t>
  </si>
  <si>
    <t>&lt;span class="w"&gt;&lt;b&gt;【810.pop：ひょいと動く, 不意に現れる, ポンと弾ける】&lt;/b&gt;&lt;/span&gt;
&lt;span class="ml"&gt;語源不明だが、おそらく擬音語（音を真似た語）と考えられる。
&lt;span class="spacer"&gt;&lt;/span&gt;ポップ（ポッ）という音のように、短く弾むような動きを表す。&lt;/span&gt;</t>
  </si>
  <si>
    <t>&lt;span class="w"&gt;&lt;b&gt;【811.pile：〜を積み重ねる】&lt;/b&gt;&lt;/span&gt;
&lt;span class="ml"&gt;ラテン語pila（柱）に由来する。
&lt;span class="spacer"&gt;&lt;/span&gt;石を積んでいって作る柱から、何かを「積み重ねる」という意味になった。
&lt;div class="sample_image pile"&gt;&lt;/div&gt;&lt;/span&gt;</t>
  </si>
  <si>
    <t>&lt;span class="w"&gt;&lt;b&gt;【812.greet：〜に挨拶をする】&lt;/b&gt;&lt;/span&gt;
&lt;span class="ml"&gt;古英語graten（接触する）にさかのぼる。
&lt;span class="spacer"&gt;&lt;/span&gt;古英語ではさまざまな意味の接触を表した、接触の際に声をかける＝「挨拶する」という意味に限定されていった。&lt;/span&gt;</t>
  </si>
  <si>
    <t>apologizeのlog部分は、ギリシャ語のロゴス（言葉）に由来する。</t>
  </si>
  <si>
    <t>&lt;span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t>
  </si>
  <si>
    <t>&lt;span class="w"&gt;&lt;b&gt;【814.frustrate：〜をいら立たせる, 〜を欲求不満にさせる】&lt;/b&gt;&lt;/span&gt;
&lt;span class="ml"&gt;ラテン語frustra（無駄に, 誤って）に由来する。
&lt;span class="spacer"&gt;&lt;/span&gt;計画や目的を無駄にしたり、 何かの効果を失わせたりすることから、思い通りにさせず「いら立たせる, 欲求不満にする」という意味になる。&lt;/span&gt;</t>
  </si>
  <si>
    <t>relieveのlieve部分は、elevator（エレベーター）のleva部分と同じで「上にあげる」イメージ。</t>
  </si>
  <si>
    <t>&lt;span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t>
  </si>
  <si>
    <t>&lt;span class="w"&gt;&lt;b&gt;【816.derive：由来する, 〜を引き出す】&lt;/b&gt;&lt;/span&gt;
&lt;span class="ml"&gt;ラテン語に由来する語で、以下の2つの要素から成る。
&lt;span class="spacer"&gt;&lt;/span&gt;de（〜から）
rivus（小川, 流れ）
&lt;span class="spacer"&gt;&lt;/span&gt;このまま日本語にすると「小川から」となる。これは水源から水を引くイメージで、元になるものから「引き出す」や、元になるものに「由来する」という意味になる。&lt;/span&gt;</t>
  </si>
  <si>
    <t>serve（仕える）やservice（サービス, 奉仕）と関連させて覚える。</t>
  </si>
  <si>
    <t>&lt;span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t>
  </si>
  <si>
    <t>de（強意）＋servire（仕える：serveの語源）
desevire（よく仕える, 熱心に奉仕する）</t>
  </si>
  <si>
    <t>&lt;span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t>
  </si>
  <si>
    <t>&lt;span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t>
  </si>
  <si>
    <t>&lt;span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t>
  </si>
  <si>
    <t>&lt;span class="w"&gt;&lt;b&gt;【821.wed：〜と結婚する, 〜を結婚させる】&lt;/b&gt;&lt;/span&gt;
&lt;span class="ml"&gt;古英語weddian（誓う, 結婚する）にさかのぼる。
&lt;span class="spacer"&gt;&lt;/span&gt;もとは誓いの印として手付金を渡して男性が妻を迎えること。その後、男女どちらにも使われるようになった。&lt;/span&gt;</t>
  </si>
  <si>
    <t>delightは、deliciousと同じ語源にさかのぼる。deliciousは味覚で大いに喜ばせるイメージ。</t>
  </si>
  <si>
    <t>&lt;span class="w"&gt;&lt;b&gt;【822.delight：〜を大喜びさせる】&lt;/b&gt;&lt;/span&gt;
&lt;span class="ml"&gt;ラテン語に由来する語で、以下の2つの要素から成る。
&lt;span class="spacer"&gt;&lt;/span&gt;de（〜から）
lacere（誘う, おびき寄せる）
&lt;span class="spacer"&gt;&lt;/span&gt;このまま日本語にすると「〜から誘う
」となる。何かの魅力で相手の心を引きつけ、相手を「大喜びさせる」という意味になる。&lt;/span&gt;</t>
  </si>
  <si>
    <t>&lt;span class="w"&gt;&lt;b&gt;【823.boost：〜を押し上げる, 〜を増加させる】&lt;/b&gt;&lt;/span&gt;
&lt;span class="ml"&gt;語源不明。後ろから押して持ち上げるイメージで「押し上げる, 増加させる」という意味になる。&lt;/span&gt;</t>
  </si>
  <si>
    <t>&lt;span class="w"&gt;&lt;b&gt;【824.endure：〜に耐える, 持ちこたえる】&lt;/b&gt;&lt;/span&gt;
&lt;span class="ml"&gt;ラテン語に由来する語で、以下の2つの要素から成る。
&lt;span class="spacer"&gt;&lt;/span&gt;in（中に）
durus（堅い, 硬い）から派生したdurare（堅くする, 持続する）
&lt;span class="spacer"&gt;&lt;/span&gt;この語の核は「内部から硬くする」。心が折れないように精神を硬くするイメージから「耐える」という意味になる。また、硬いと丈夫で長持ちすることから「持ちこたえる」という意味になる。
&lt;div class="sample_image endure"&gt;&lt;/div&gt;
&lt;span class="spacer"&gt;&lt;/span&gt;during（〜の間）もラテン語durusに由来する。during（何かの期間, 何かをしている間）とは、その状態が変わらず長持ちしているしているイメージ。&lt;/span&gt;</t>
  </si>
  <si>
    <t>&lt;span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t>
  </si>
  <si>
    <t>&lt;span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t>
  </si>
  <si>
    <t>日本語でも使われるレスキュー隊（救助隊）と関連させて覚える。</t>
  </si>
  <si>
    <t>&lt;span class="w"&gt;&lt;b&gt;【827.rescue：〜を救う】&lt;/b&gt;&lt;/span&gt;
&lt;span class="ml"&gt;ラテン語に由来する語で、以下の2つの要素から成る。
&lt;span class="spacer"&gt;&lt;/span&gt;ex（外に）
quatere（振る）
&lt;span class="spacer"&gt;&lt;/span&gt;この語の核は「外側に振り払う」。悪や害、敵の拘束、敵の攻撃などを振り払い、安全な状態にすることから、何かを「救う」という意味になった。&lt;/span&gt;</t>
  </si>
  <si>
    <t>&lt;span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t>
  </si>
  <si>
    <t>日本語でも使われる店のレジ（購入商品を登録するもの）と関連させて覚える。</t>
  </si>
  <si>
    <t>&lt;span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t>
  </si>
  <si>
    <t>ruptは「壊す」というイメージ。</t>
  </si>
  <si>
    <t>&lt;span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t>
  </si>
  <si>
    <t>&lt;span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t>
  </si>
  <si>
    <t>prohibitのhibit部分は「持つ」イメージ。
exhibit（展示する）やhabit（習慣）と同じ。</t>
  </si>
  <si>
    <t>&lt;span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t>
  </si>
  <si>
    <t>be composed of A（Aから構成される）で覚える。</t>
  </si>
  <si>
    <t>&lt;span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t>
  </si>
  <si>
    <t>&lt;span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t>
  </si>
  <si>
    <t>&lt;span class="w"&gt;&lt;b&gt;【836.ruin：～をだめにする, ～を破滅させる】&lt;/b&gt;&lt;/span&gt;
&lt;span class="ml"&gt;ラテン語ruere（崩れ落ちる）に由来する。
&lt;span class="spacer"&gt;&lt;/span&gt;この語の核は「修復できないほど壊す」。もともとは、石造りの建物などがガラガラと音を立てて崩れ落ちるという物理的な現象を表した。
&lt;span class="spacer"&gt;&lt;/span&gt;そこからさらに物理的な破壊に加え、比喩的に、予定や計画、名声、健康状態などを「だめにする, 破滅させる」という意味にもなった。
&lt;div class="sample_image ruin"&gt;&lt;/div&gt;&lt;/span&gt;</t>
  </si>
  <si>
    <t>名詞のディフェンス（防御）と関連させて覚える。</t>
  </si>
  <si>
    <t>&lt;span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t>
  </si>
  <si>
    <t>ブレスレット（腕輪）のブレスと関連させて覚える。</t>
  </si>
  <si>
    <t>&lt;span class="w"&gt;&lt;b&gt;【838.embrace：～を受け入れる, 抱擁する】&lt;/b&gt;&lt;/span&gt;
&lt;span class="ml"&gt;古フランス語に由来する語で、以下の2つの要素から成る。
&lt;span class="spacer"&gt;&lt;/span&gt;em（中に）
brace（腕）
&lt;span class="spacer"&gt;&lt;/span&gt;このまま日本語にすると「腕の中に」となる。対象を腕の中に入れることから、何かを「抱きしめる, 抱擁する」という意味になった。また両手を広げて好意的に迎え入れるイメージから、何かを「受け入れる」という意味にもなった。&lt;/span&gt;</t>
  </si>
  <si>
    <t>&lt;span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t>
    <rPh sb="298" eb="299">
      <t>ナカ</t>
    </rPh>
    <rPh sb="300" eb="301">
      <t>オサ</t>
    </rPh>
    <rPh sb="308" eb="309">
      <t>ダ</t>
    </rPh>
    <rPh sb="311" eb="313">
      <t>ブブン</t>
    </rPh>
    <rPh sb="342" eb="344">
      <t>キジュン</t>
    </rPh>
    <rPh sb="345" eb="346">
      <t>カ</t>
    </rPh>
    <rPh sb="353" eb="354">
      <t>オサ</t>
    </rPh>
    <phoneticPr fontId="1"/>
  </si>
  <si>
    <t>&lt;span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t>
    <phoneticPr fontId="1"/>
  </si>
  <si>
    <t>qualificare（性質を与える）</t>
  </si>
  <si>
    <t>1530年代
制限する, 限定する
ある職務や地位に就くための必要条件を満たす
&lt;span class="spacer"&gt;&lt;/span&gt;1580年代
職や役職に適格となる, 適格である</t>
  </si>
  <si>
    <t>passionは理性の制御を振り切って人を動かす強い感情。</t>
  </si>
  <si>
    <t>&lt;span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t>
  </si>
  <si>
    <t>thus</t>
  </si>
  <si>
    <t>iasm</t>
  </si>
  <si>
    <t>enthusiasmは「神が内に宿って、内側からエネルギーに溢れる状態」というイメージ。</t>
  </si>
  <si>
    <t>&lt;span class="w"&gt;&lt;b&gt;【842.enthusiasm：熱意, 熱狂】&lt;/b&gt;&lt;/span&gt;
&lt;span class="ml"&gt;ギリシャ語に由来する語で、以下の2つの要素から成る。
&lt;span class="spacer"&gt;&lt;/span&gt;en（中に）
theos（神）
&lt;span class="spacer"&gt;&lt;/span&gt;この語の核は「神が自分の中に憑依した状態」。もともとは宗教的な意味で、人が神的な力や霊感に満たされ、通常の状態を超えて没頭する状態を表した。そこから宗教的な意味は薄まり、我を忘れるほど何かに夢中になったり、強い内的なエネルギーに突き動かされて一生懸命何かをしたりする状態を表すようになり、「熱意, 熱狂」という意味になった。&lt;/span&gt;</t>
  </si>
  <si>
    <t>en（中に）＋theos（神）
entheos（神が中に入った, 神にとりつかれた）
&lt;span class="spacer"&gt;&lt;/span&gt;動詞になって
enthousiazein（神にとりつかれる, 我を忘れる）
&lt;span class="spacer"&gt;&lt;/span&gt;名詞を作る-mosが付いて
enthousiasmos（特定の音楽などによって生じる熱狂）</t>
  </si>
  <si>
    <t>日本語でも使われるフェーズ（段階）と同じ。</t>
  </si>
  <si>
    <t>&lt;span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t>
  </si>
  <si>
    <t>phainein（現れる）
&lt;span class="spacer"&gt;&lt;/span&gt;名詞になって
phasis（星の出現, 月の位相・満ち欠け）</t>
  </si>
  <si>
    <t>日本語でも使われるマナーモードと関連させて覚える。</t>
  </si>
  <si>
    <t>&lt;span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t>
  </si>
  <si>
    <t>&lt;span class="w"&gt;&lt;b&gt;【845.span：期間, 範囲】&lt;/b&gt;&lt;/span&gt;
&lt;span class="ml"&gt;古英語span（広げた親指と、中指もしくは小指との間の距離）にさかのぼる。
&lt;span class="spacer"&gt;&lt;/span&gt;もともとは指を広げて測る距離を表していた。そこから2つの物体の間の距離となり、さらに空間的な「範囲」や時間的な「期間」という意味になった。&lt;/span&gt;</t>
  </si>
  <si>
    <t>gravi</t>
  </si>
  <si>
    <t>grave（重大な）とセットで覚える。</t>
  </si>
  <si>
    <t>&lt;span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t>
  </si>
  <si>
    <t>gravis（重い）
&lt;span class="spacer"&gt;&lt;/span&gt;名詞を作る-tasが付いて
gravitas（重さ, 重量）</t>
  </si>
  <si>
    <t>&lt;span class="w"&gt;&lt;b&gt;【847.orbit：軌道】&lt;/b&gt;&lt;/span&gt;
&lt;span class="ml"&gt;ラテン語orbita（車輪の跡, 踏み固められた道, 進路, 惑星の円形の進路）に由来する。
&lt;span class="spacer"&gt;&lt;/span&gt;もともとは車輪の跡を表したが、そこから何かが通った跡や何かが通る進路となった。そしてこれが天文学に持ち込まれ、惑星や彗星が通る道、つまり「軌道」という意味になった。
&lt;div class="sample_image orbit"&gt;&lt;/div&gt;&lt;/span&gt;</t>
  </si>
  <si>
    <t>asteroidのaster部分はstarと同じ。</t>
  </si>
  <si>
    <t>&lt;span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t>
  </si>
  <si>
    <t>&lt;span class="w"&gt;&lt;b&gt;【849.core：核心, 芯】&lt;/b&gt;&lt;/span&gt;
&lt;span class="ml"&gt;ラテン語cor（心, 心臓）に由来する。
&lt;span class="spacer"&gt;&lt;/span&gt;心や心臓のように中心にあるものということから「核心, 芯」という意味になった。&lt;/span&gt;</t>
  </si>
  <si>
    <t>&lt;span class="w"&gt;&lt;b&gt;【850.soul：精神, 魂】&lt;/b&gt;&lt;/span&gt;
&lt;span class="ml"&gt;古英語sawol（人の精神や感情, 命, 亡くなった人の霊魂）にさかのぼる。
&lt;span class="spacer"&gt;&lt;/span&gt;大昔のゲルマン神話において、人間の魂は海の彼方からやってきて、その人が亡くなると魂は海の彼方へ帰っていくと信じられていた。そのためsoulはseaと関係があるとする説がある。
&lt;span class="spacer"&gt;&lt;/span&gt;この信仰が表すように、soulはある人の内側に宿る、その人の核となる「精神, 魂」を意味する。&lt;/span&gt;</t>
  </si>
  <si>
    <t>nervous（神経質な, 緊張して）と関連させて覚える。</t>
  </si>
  <si>
    <t>&lt;span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t>
  </si>
  <si>
    <t>&lt;span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t>
  </si>
  <si>
    <t>&lt;span class="w"&gt;&lt;b&gt;【853.mall：モール, ショッピングセンター】&lt;/b&gt;&lt;/span&gt;
&lt;span class="ml"&gt;イタリア語pallamaglio（木槌で球を打つゴルフのような競技）に由来する。
&lt;span class="spacer"&gt;&lt;/span&gt;16〜17世紀頃、当時流行していたペルメルという競技のために、ロンドンに専用の細長いコースが作られた。競技が廃れると、その細長く平らなコースは並木のある散歩道として整備され、ペルメルという名前にちなんでThe Mallと呼ばれるようになる。そしてこの固有名詞は一般的な並木のある散歩道を表す際にも使われるようになり、一般名詞mall（並木のある散歩道）となった。
&lt;span class="spacer"&gt;&lt;/span&gt;20世紀になると、人々が安全に歩きながら買い物を楽しめる歩行者専用の巨大な商業施設が考案され、その構造が散歩道に似ていたことから「ショッピングモール」という意味になった。&lt;/span&gt;</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</si>
  <si>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</si>
  <si>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groce</t>
  </si>
  <si>
    <t>GDP（国内総生産）のGross（総, 全体の）と関連させて覚える。</t>
  </si>
  <si>
    <t>&lt;span class="w"&gt;&lt;b&gt;【854.grocery：食料雑貨店, （複数形で）食料雑貨】&lt;/b&gt;&lt;/span&gt;
&lt;span class="ml"&gt;ラテン語grossus（大きい, 大量の）から派生したgrossarius（大量の商品を扱う者, 卸売業者）に由来する。
&lt;span class="spacer"&gt;&lt;/span&gt;もともとは、大量にまとめて扱うということに由来し、そこから大量の商品を仕入れて販売する卸売商人を表した。14世紀頃のイギリスの商人たちは、外国から香辛料や保存食などを大量に仕入れて販売していたが、時代が下るにつれて、一般的な食料品や日用雑貨全般を扱うようになり、「食料雑貨店」という意味になった。また複数形groceriesは、その店で扱われる「食料雑貨」を指すようになった。&lt;/span&gt;</t>
  </si>
  <si>
    <t>grossus（大きい, 大量の）
&lt;span class="spacer"&gt;&lt;/span&gt;名詞を作る-ariusが付いて
grossarius（大量の商品を扱う者, 卸売業者）</t>
  </si>
  <si>
    <t>&lt;span class="w"&gt;&lt;b&gt;【855.humor：ユーモア, 気分, 機嫌】&lt;/b&gt;&lt;/span&gt;
&lt;span class="ml"&gt;ラテン語umor（体液）に由来する。
&lt;span class="spacer"&gt;&lt;/span&gt;&lt;b&gt;［古代の医学：四体液説］&lt;/b&gt;
古代の医学では、血液、粘液、黄胆汁、黒胆汁の比率によって身体や精神の状態が決まると信じられていた。
&lt;span class="spacer"&gt;&lt;/span&gt;中世になると医学的な概念が一般社会に広まり、体液ではなく、それによって生じる「気分, 機嫌」という意味で使われるようになった。
&lt;span class="spacer"&gt;&lt;/span&gt;さらに近代になると、特定の気質に偏った風変わりな気質を持つ人が面白がられるようになる。そこから、滑稽な性質やおかしさを表す「ユーモア」という意味になった。&lt;/span&gt;</t>
  </si>
  <si>
    <t>［古代の医学：四体液説］
人間の体には四つの体液—血液、粘液、黄胆汁、黒胆汁—があり、それぞれの体液に特定の性質を帰属させた。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</si>
  <si>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instinctは「内部から突き動かす本能」というイメージ。</t>
  </si>
  <si>
    <t>&lt;span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t>
  </si>
  <si>
    <t>&lt;span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t>
  </si>
  <si>
    <t>incentiveは「心に火をつけるような動機」というイメージ。</t>
  </si>
  <si>
    <t>&lt;span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t>
  </si>
  <si>
    <t>in（中に）＋canere（歌う）
incinere（歌い出す, 合図として鳴らす）
&lt;span class="spacer"&gt;&lt;/span&gt;形容詞を作る-ivusが付いて
incentivus（調べを合わせる）</t>
  </si>
  <si>
    <t>incentivus（駆り立てる）
&lt;span class="spacer"&gt;&lt;/span&gt;名詞になって
incentivum（駆り立てるもの）</t>
  </si>
  <si>
    <t>15世紀初頭
心を動かすもの, 感情をかき立てるもの
&lt;span class="spacer"&gt;&lt;/span&gt;語源的には関係のない後期ラテン語incendere（火をつける）の影響を受けている</t>
  </si>
  <si>
    <t>&lt;span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t>
  </si>
  <si>
    <t>&lt;span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t>
  </si>
  <si>
    <t>ob（前に, ～に対して）＋stare（立つ）
obstare（前に立つ, 立ちはだかる, 妨げる）
&lt;span class="spacer"&gt;&lt;/span&gt;道具や手段を表す-culumが付いて
obstaculum（障害物, 妨害物）</t>
  </si>
  <si>
    <t>&lt;span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t>
  </si>
  <si>
    <t>&lt;span class="w"&gt;&lt;b&gt;【863.stem：（草木の）茎や幹】&lt;/b&gt;&lt;/span&gt;
&lt;span class="ml"&gt;古英語stemn（木の幹, 船首の柱）にさかのぼる。この古英語はさらに印欧祖語*sta-（立つ）にさかのぼる。
&lt;span class="spacer"&gt;&lt;/span&gt;この語の核は「しっかり立って支える中心部分」。植物で言えば、木を支える「幹」や草を支える「茎」を指す。また植物ではなくても、ワイングラスの脚や単語の語幹といった支える部分も指す。&lt;/span&gt;</t>
  </si>
  <si>
    <t>stemn（木の幹, 船首の柱）</t>
  </si>
  <si>
    <t>日本語でも使われるイリュージョン（本当に起きたように錯覚させるもの）と関連させて覚える。</t>
  </si>
  <si>
    <t>&lt;span class="w"&gt;&lt;b&gt;【864.illusion：錯覚, 思い違い, 幻想】&lt;/b&gt;&lt;/span&gt;
&lt;span class="ml"&gt;ラテン語に由来する語で、以下の3つの要素から成る。
&lt;span class="spacer"&gt;&lt;/span&gt;in（～に対して）
ludere（遊ぶ）
io（名詞化）
&lt;span class="spacer"&gt;&lt;/span&gt;このまま日本語にすると「相手に対して遊ぶ」となり、もともとは相手をからかうことを表した。中世のキリスト教社会になると、悪霊が人の心を騙して見せる幻影・まやかしを表すようになる。
&lt;span class="spacer"&gt;&lt;/span&gt;そこからさらに時代が下り、宗教的なニュアンスが薄れ、現実ではないものを事実かのように思わせる「錯覚, 思い違い, 幻想」という意味になった。&lt;/span&gt;</t>
  </si>
  <si>
    <t>criminat</t>
  </si>
  <si>
    <t>&lt;span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t>
  </si>
  <si>
    <t>dry（乾いた, ドライ）＋th（名詞化）として覚える。</t>
  </si>
  <si>
    <t>&lt;span class="w"&gt;&lt;b&gt;【867.drought：干ばつ】&lt;/b&gt;&lt;/span&gt;
&lt;span class="ml"&gt;ゲルマン祖語にさかのぼり、以下の2つの要素から成る。
&lt;span class="spacer"&gt;&lt;/span&gt;*dreug-（乾いた）
itho（名詞化）
&lt;span class="spacer"&gt;&lt;/span&gt;このまま日本語にすると「乾いた状態」となる。そこから乾いて土地が干からびた「干ばつ」という意味になる。
&lt;span class="spacer"&gt;&lt;/span&gt;droughtはdryに名詞を作るthが付いた語と考えればよい。
highーheight / wideーwidthと同じ関係。&lt;/span&gt;</t>
  </si>
  <si>
    <t>&lt;span class="w"&gt;&lt;b&gt;【868.flavor：風味】&lt;/b&gt;&lt;/span&gt;
&lt;span class="ml"&gt;ラテン語に由来する語で、以下の2つの要素から成る。
&lt;span class="spacer"&gt;&lt;/span&gt;flare（吹く）
or（〜するもの, 〜する人）
&lt;span class="spacer"&gt;&lt;/span&gt;この語の核は「風に乗ってくる香りや匂い」。そこから、食べ物を口に入れた際に鼻から抜ける「風味」という意味になった。&lt;/span&gt;</t>
  </si>
  <si>
    <t>partやproportionと関連させて覚える。</t>
  </si>
  <si>
    <t>&lt;span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t>
  </si>
  <si>
    <t>日本語でも使われる料理のレシピと同じ。</t>
  </si>
  <si>
    <t>&lt;span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t>
  </si>
  <si>
    <t>re（再び）＋capere（取る）
recipere（取り戻す, 持ち帰る, 受け入れる）
&lt;span class="spacer"&gt;&lt;/span&gt;命令形recipe（取りなさい！）
これは医師が処方箋の初めに書いた言葉（処方箋に書かれた材料を取り出しなさい！という意味）</t>
  </si>
  <si>
    <t>luxu</t>
  </si>
  <si>
    <t>&lt;span class="w"&gt;&lt;b&gt;【871.luxury：ぜいたく（品）】&lt;/b&gt;&lt;/span&gt;
&lt;span class="ml"&gt;ラテン語に由来する語で、以下の2つの要素から成る。
&lt;span class="spacer"&gt;&lt;/span&gt;luxus（過剰, ぜいたく）
ia（名詞化）
&lt;span class="spacer"&gt;&lt;/span&gt;このまま日本語にすると「過剰なこと」となる。生活に必要な程度を超えていることから「ぜいたく（品）」という意味になる。&lt;/span&gt;</t>
  </si>
  <si>
    <t>luxus（過剰, ぜいたく）
&lt;span class="spacer"&gt;&lt;/span&gt;名詞を作る-iaが付いて
luxuria（過剰, ぜいたく, 浪費的生活）</t>
  </si>
  <si>
    <t>&lt;span class="w"&gt;&lt;b&gt;【872.chip：かけら, 集積回路（チップ）】&lt;/b&gt;&lt;/span&gt;
&lt;span class="ml"&gt;古英語cipp（道具による打撃によって本体から切り離された小さなかけら）にさかのぼる。
&lt;span class="spacer"&gt;&lt;/span&gt;木や石などを砕いたときの小さなかけらから、一般的な何かのものを小さくした「かけら」という意味になる。&lt;/span&gt;</t>
  </si>
  <si>
    <t>&lt;span class="w"&gt;&lt;b&gt;【873.ritual：儀式, 日常の習慣的行為】&lt;/b&gt;&lt;/span&gt;
&lt;span class="ml"&gt;ラテン語に由来する語で、以下の2つの要素から成る。
&lt;span class="spacer"&gt;&lt;/span&gt;ritus（宗教的な儀式や慣習）
alis（形容詞化）
&lt;span class="spacer"&gt;&lt;/span&gt;このまま日本語にすると「宗教的な儀式や習慣の」となる。もともとは宗教に関する言葉だったが、そこから宗教に限らず一般的な「儀式, 習慣的行為」という意味になった。&lt;/span&gt;</t>
  </si>
  <si>
    <t>&lt;span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t>
  </si>
  <si>
    <t>coun</t>
  </si>
  <si>
    <t>cil</t>
  </si>
  <si>
    <t>&lt;span class="w"&gt;&lt;b&gt;【876.council：議会】&lt;/b&gt;&lt;/span&gt;
&lt;span class="ml"&gt;印欧祖語
*kele-（叫ぶ）
&lt;span class="spacer"&gt;&lt;/span&gt;ラテン語に由来する語で、以下の2つの要素から成る。
&lt;span class="spacer"&gt;&lt;/span&gt;con（共に）
calāre（呼ぶ）
&lt;span class="spacer"&gt;&lt;/span&gt;このまま日本語にすると「共に叫ぶ」となる。声をかけて人を集めて話し合うことから「議会」という意味になった。&lt;/span&gt;</t>
  </si>
  <si>
    <t>*kele-（叫ぶ）
&lt;span class="spacer"&gt;&lt;/span&gt;&lt;span class="obsolete"&gt;declare（宣言する）, claim（主張する）, exclaim（叫ぶ）などもこの印欧祖語にさかのぼる&lt;/span&gt;</t>
  </si>
  <si>
    <t>com（共に）＋calāre（呼ぶ）
concilium（声をかけて人を集めること, 集まり, 人々の集会）</t>
  </si>
  <si>
    <t>trat</t>
  </si>
  <si>
    <t>国の管理・運営をしている政府の人間minister（大臣）と関連させて覚える。</t>
  </si>
  <si>
    <t>&lt;span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t>
  </si>
  <si>
    <t>minus（小さい）＋teros（比較級接尾辞）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</si>
  <si>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t>
  </si>
  <si>
    <t>currere（走る）
&lt;span class="spacer"&gt;&lt;/span&gt;名詞を作る-culumが付いて
curriculum（走るための場所, 走るための道具）</t>
  </si>
  <si>
    <t>price（価格）と関連させて覚える。</t>
  </si>
  <si>
    <t>&lt;span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t>
  </si>
  <si>
    <t>&lt;span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t>
  </si>
  <si>
    <t>日本語でも使われるラフ（大雑把な, 粗っぽい）と関連させて覚える。</t>
  </si>
  <si>
    <t>&lt;span class="w"&gt;&lt;b&gt;【883.rough：粗い, 大まかな, 乱暴な, 荒れた】&lt;/b&gt;&lt;/span&gt;
&lt;span class="ml"&gt;古英語ruh（触り心地が滑らかでない, 布のきめが粗い, 耕作されていない）にさかのぼる。
&lt;span class="spacer"&gt;&lt;/span&gt;古英語では触感の粗さや土地の荒れ具合を表したが、そこからさらに人柄や言葉遣い、状況、数量といった様々な粗さへと意味が拡大した。この語は「粗い」という意味を覚え、文脈に応じて適した日本語にすればよい。&lt;/span&gt;</t>
  </si>
  <si>
    <t>動詞please（喜ばせる）や名詞pleasure（喜び）と関連させ、「喜ばせる」を否定した形容詞「不愉快な」と覚えればよい。</t>
  </si>
  <si>
    <t>北斗七星を含むおおぐま座と関連させて覚える。</t>
  </si>
  <si>
    <t>&lt;span class="w"&gt;&lt;b&gt;【885.Arctic：北極の】&lt;/b&gt;&lt;/span&gt;
&lt;span class="ml"&gt;ギリシャ語に由来する語で、以下の2つの要素から成る。
&lt;span class="spacer"&gt;&lt;/span&gt;arktos（熊, おおぐま座）
ikos（形容詞化）
&lt;span class="spacer"&gt;&lt;/span&gt;北の空に輝く北斗七星を含むおおぐま座は、古代から北の方角を知る目印だったことから「北極の」という意味になった。&lt;/span&gt;
&lt;div class="animation arctic"&gt;&lt;/div&gt;</t>
  </si>
  <si>
    <t>&lt;span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t>
  </si>
  <si>
    <t>&lt;span class="w"&gt;&lt;b&gt;【887.deaf：耳が聞こえない】&lt;/b&gt;&lt;/span&gt;
&lt;span class="ml"&gt;古英語deaf（聴覚を欠いている）にさかのぼり、古英語から意味の変化はない。&lt;/span&gt;</t>
  </si>
  <si>
    <t>&lt;span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t>
  </si>
  <si>
    <t>&lt;span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t>
  </si>
  <si>
    <t>日本語でも使われるインスタントコーヒーやインスタグラムと関連させて覚える。
instagram
instant：すぐに
telegram：電報＝すぐに写真や動画を共有できる</t>
  </si>
  <si>
    <t>&lt;span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t>
  </si>
  <si>
    <t>in（上に, 中に）＋stare（立つ）
instare（近くに立つ, 促す）
&lt;span class="spacer"&gt;&lt;/span&gt;現在分詞instans（近くに立っている, 切迫した, 緊急の）</t>
  </si>
  <si>
    <t>日本語でも使われるスペアタイアやスペアキーなど予備と関連させて覚える。</t>
  </si>
  <si>
    <t>&lt;span class="w"&gt;&lt;b&gt;【892.spare：余分の, 予備の】&lt;/b&gt;&lt;/span&gt;
&lt;span class="ml"&gt;古英語spær（控えめな, 節約する）にさかのぼる。
&lt;span class="spacer"&gt;&lt;/span&gt;もともとの「節約して使わずに残しておく」という状態から、「使われずに残っているもの＝いざという時のためのストック」というイメージに繋がり、そこから「余分な, 予備の」という意味へと発展した。&lt;/span&gt;</t>
  </si>
  <si>
    <t>&lt;span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t>
  </si>
  <si>
    <t>&lt;span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t>
  </si>
  <si>
    <t>&lt;span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t>
  </si>
  <si>
    <t>&lt;span class="w"&gt;&lt;b&gt;【896.inevitable：避けられない】&lt;/b&gt;&lt;/span&gt;
&lt;span class="ml"&gt;ラテン語に由来する語で、以下の2つの要素から成る。
&lt;span class="spacer"&gt;&lt;/span&gt;in（否定）
ex（外に）
viter（遠ざける, 避ける）
bilis（できる）
&lt;span class="spacer"&gt;&lt;/span&gt;このまま日本語にすると「外へ向かって避けることができない」という意味になる。&lt;/span&gt;</t>
  </si>
  <si>
    <t>&lt;span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t>
  </si>
  <si>
    <t>&lt;span class="w"&gt;&lt;b&gt;【899.mature：成熟した】&lt;/b&gt;&lt;/span&gt;
&lt;span class="ml"&gt;ラテン語mātūrus（熟した）に由来する。
&lt;span class="spacer"&gt;&lt;/span&gt;果物が熟していることから、比喩的に人の身体や精神、物事の完成度などが「成熟している」という意味へと発展した。&lt;/span&gt;</t>
  </si>
  <si>
    <t>&lt;span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t>
  </si>
  <si>
    <t>&lt;span class="w"&gt;&lt;b&gt;【259.race：人種, 民族】&lt;/b&gt;&lt;/span&gt;
&lt;span class="ml"&gt;フランス語race（種族, 血統）に由来する。&lt;span class="obsolete"&gt;これより前の詳細は不明。&lt;/span&gt;
&lt;span class="spacer"&gt;&lt;/span&gt;「種族, 血統」という共通の祖先をもつ人の集まりから「民族, 人種」という意味になる。
&lt;span class="spacer"&gt;&lt;/span&gt;race（競争）は古英語に由来し、race（人種, 民族）とは偶然に同じスペルになっただけ。&lt;/span&gt;</t>
  </si>
  <si>
    <t>&lt;span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t>
  </si>
  <si>
    <t>&lt;span class="w"&gt;&lt;b&gt;【485.linguistic：言語の, 言語学の】&lt;/b&gt;&lt;/span&gt;
&lt;span class="ml"&gt;ラテン語lingua（舌, 言語：languageの語源）に由来する。&lt;span class="obsolete"&gt;ist（〜する人）とic（形容詞化）は英語段階で付いた。&lt;/span&gt;
&lt;span class="spacer"&gt;&lt;/span&gt;言葉を話すときによく動かす器官が舌であることから、そのまま「言語」を意味するようになった。ここから「言語の, 言語学の」という意味になる。
英語で2カ国語を話す人を bilingual（バイリンガル）と言うが、これもbi-（2つの）＋lingua（舌・言語）が組み合わさったもの。舌と言語の関係は、英語で母国語をmother tongueと呼ぶことからもよくわかる。&lt;/span&gt;</t>
  </si>
  <si>
    <t>&lt;span class="w"&gt;&lt;b&gt;【523.regret：〜を後悔する】&lt;/b&gt;&lt;/span&gt;
&lt;span class="ml"&gt;古フランス語に由来する語で、以下の2つの要素から成る。
&lt;span class="spacer"&gt;&lt;/span&gt;re（強意）
greter
&lt;span class="obsolete"&gt;原始ゲルマン語*gretan（泣く）に由来&lt;/span&gt;
&lt;span class="spacer"&gt;&lt;/span&gt;もともとは、何かを嘆く、特に誰かの死を嘆き悲しむことを表した。人は誰かが亡くなると、その死を嘆いたり、その人のことを思い出して悲しんだりすることから、過去を振り返って嘆くという行為へつながった。そして、そこから死に限らず、一般的に過去を「後悔する」という意味になった。&lt;/span&gt;</t>
  </si>
  <si>
    <t>&lt;span class="w"&gt;&lt;b&gt;【526.disappoint：〜を失望させる, （希望など）をくじく】&lt;/b&gt;&lt;/span&gt;
&lt;span class="ml"&gt;古フランス語に由来する語で、以下の3つの要素から成る。
des（反対）＋à（〜に）＋point（点）
&lt;span class="spacer"&gt;&lt;/span&gt;まずà point（点へ）が、ある1点を指し示すことから、動詞apointer（指名する, 任命する）となる。&lt;span class="obsolete"&gt;これは英語appoint（指名する, 任命する）の語源。&lt;/span&gt;
&lt;span class="spacer"&gt;&lt;/span&gt;そしてここにdes（反対）が付くことで、任命を取り消すとなる。これは、相手の期待や希望にそわなかったことを表し、そこから一般的に「失望させる, （希望などを）くじく」という意味になった。&lt;/span&gt;</t>
  </si>
  <si>
    <t>&lt;span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t>
  </si>
  <si>
    <t>&lt;span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t>
  </si>
  <si>
    <t>&lt;span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t>
  </si>
  <si>
    <t>&lt;span class="w"&gt;&lt;b&gt;【622.attach：〜を（取り）付ける】&lt;/b&gt;&lt;/span&gt;
&lt;span class="ml"&gt;古フランス語に由来する語で、以下の2つの要素から成る。
&lt;span class="spacer"&gt;&lt;/span&gt;a（〜へ）
tachier（杭で固定する）
&lt;span class="obsolete"&gt;このtachierは、印欧祖語*steg-（柱, 杭）から派生した。この印欧祖語からは英語stickも生まれている。&lt;/span&gt;
&lt;span class="spacer"&gt;&lt;/span&gt;このまま日本語にすると「何かへ杭で固定する」となる。ここから、何かを「（取り）付ける」という意味になった。&lt;/span&gt;</t>
  </si>
  <si>
    <t>*randa
&lt;span class="spacer"&gt;&lt;/span&gt;&lt;span class="obsolete"&gt;古英語rinnan（走る, 流れる）の語源であり、これがrun（走る）となる&lt;/span&gt;</t>
  </si>
  <si>
    <t>garant（防御者, 保護者, 保証）
&lt;span class="spacer"&gt;&lt;/span&gt;&lt;span class="obsolete"&gt;ゲルマン祖語のwがフランス国内でgに変化した&lt;/span&gt;</t>
  </si>
  <si>
    <t>1500年頃
名詞で、閃光を生む突然の動き
&lt;span class="spacer"&gt;&lt;/span&gt;1580年代
素早くみる
&lt;span class="obsolete"&gt;中英語glanten（横目で見る）の影響と考えられる&lt;/span&gt;
&lt;span class="spacer"&gt;&lt;/span&gt;1590年代
瞬間的な視線の動き</t>
  </si>
  <si>
    <t>&lt;span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t>
  </si>
  <si>
    <t>&lt;span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t>
  </si>
  <si>
    <t>&lt;span class="w"&gt;&lt;b&gt;【882.optimistic：楽観的な】&lt;/b&gt;&lt;/span&gt;
&lt;span class="ml"&gt;ラテン語に由来する語で、以下の3つの要素から成る。
&lt;span class="spacer"&gt;&lt;/span&gt;optimus（最善の）
&lt;span class="obsolete"&gt;ist（〜する人）はフランス語段階で付いた&lt;/span&gt;
&lt;span class="obsolete"&gt;ic（形容詞化）は英語段階で付いた&lt;/span&gt;
&lt;span class="spacer"&gt;&lt;/span&gt;もともとは、哲学者ライプニッツが唱えた“最大の善”という考えにさかのぼる。全知全能かつ完全な善である神が創造したこの世界は、存在しうるあらゆる世界の中で、最も良い状態であるはずだという哲学。現実には悪いことも存在するが、神が創った以上、トータルで見ればプラスが最大でマイナスが最小になっているはずだと考えたわけである。
&lt;span class="spacer"&gt;&lt;/span&gt;その後、この哲学の議論から前提や推論が省かれ、この世界は最も良いものなんだという結論だけが一般化した。そこから、何が起きても物事をポジティブに受け入れる「楽観的な」という意味になった。&lt;/span&gt;</t>
  </si>
  <si>
    <t>&lt;span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t>
  </si>
  <si>
    <t>&lt;span class="w"&gt;&lt;b&gt;【890.mechanical：機械の, 機械的な】&lt;/b&gt;&lt;/span&gt;
&lt;span class="ml"&gt;ギリシャ語に由来する語で、以下の3つの要素から成る。
&lt;span class="spacer"&gt;&lt;/span&gt;mēkhanē（装置, 仕掛け）
ikos（形容詞化）
&lt;span class="obsolete"&gt;al（形容詞化）は英語段階で付いた&lt;/span&gt;
&lt;span class="spacer"&gt;&lt;/span&gt;この装置や仕掛けは、人力ではできないようなことを可能にする、いまで言う機械のこと。そこから「機械の, 機械的な」という意味になった。&lt;/span&gt;</t>
  </si>
  <si>
    <t>&lt;span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t>
  </si>
  <si>
    <t>&lt;span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t>
  </si>
  <si>
    <t>stargaze（星をじっと見る, 星を観察する）やstargazer（占星術師）などと関連させて覚える。</t>
  </si>
  <si>
    <t>&lt;span class="w"&gt;&lt;b&gt;【903.gaze：じっと見る】&lt;/b&gt;&lt;/span&gt;
&lt;span class="ml"&gt;中英語gazen（じっと見つめる）にさかのぼるが、詳細な語源は不明の語。
&lt;span class="spacer"&gt;&lt;/span&gt;うっとり見とれる、ぼんやり見つめるというイメージ。&lt;/span&gt;</t>
  </si>
  <si>
    <t>&lt;span class="w"&gt;&lt;b&gt;【904.slip：滑る, そっと動く】&lt;/b&gt;&lt;/span&gt;
&lt;span class="ml"&gt;印欧祖語*(s)lei-（ぬるぬるした, 粘つく, 滑りやすい）に由来する。
&lt;span class="spacer"&gt;&lt;/span&gt;この印欧祖語はslime（スライム）の語源でもあり、ぬるぬると滑りやすいイメージ。そこから「滑る」や、滑るように「そっと動く」という意味になる。&lt;/span&gt;</t>
  </si>
  <si>
    <t>&lt;span class="w"&gt;&lt;b&gt;【905.load：〜に積む】&lt;/b&gt;&lt;/span&gt;
&lt;span class="ml"&gt;古英語lad（進路, 運ぶこと, 運搬）にさかのぼる。
&lt;span class="spacer"&gt;&lt;/span&gt;もともとは運搬や荷物を表す名詞だったが、中英語期に音やスペルが似た他の語の意味を吸収して「積む」という動詞になった。&lt;/span&gt;</t>
  </si>
  <si>
    <t>&lt;span class="w"&gt;&lt;b&gt;【906.overwhelm：〜を圧倒する, 〜を打ちのめす】&lt;/b&gt;&lt;/span&gt;
&lt;span class="ml"&gt;中英語にさかのぼり、以下の2つの要素から成る。
&lt;span class="spacer"&gt;&lt;/span&gt;over（上から）
whelmen（ひっくり返す）
&lt;span class="spacer"&gt;&lt;/span&gt;大波が覆い被さって船をひっくり返すイメージから、上下をひっくり返すという物理的な動きを表した。さらにそこから心理的な意味にも発展して、物理的・感情的に「圧倒する」や、圧倒して「打ちのめす」という意味になった。
&lt;div class="sample_image overwhelm"&gt;&lt;/div&gt;&lt;/span&gt;</t>
  </si>
  <si>
    <t>&lt;span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t>
  </si>
  <si>
    <t>&lt;span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t>
  </si>
  <si>
    <t>&lt;span class="w"&gt;&lt;b&gt;【909.pour：〜を注ぐ, （雨が）激しく降る】&lt;/b&gt;&lt;/span&gt;
&lt;span class="ml"&gt;語源不明。ラテン語purus（純粋な）から派生した動詞purare（浄化する）に由来するという考えがある。
&lt;span class="spacer"&gt;&lt;/span&gt;何かをピュアな状態にする＝浄化するために穀物をふるいにかけたり、水を濾過したりする様子から、何かを「注ぐ」という意味になった。またドバッと注ぐように雨が降る様子から「激しく降る」という意味にもなった。
&lt;div class="sample_image pour"&gt;&lt;/div&gt;&lt;/span&gt;</t>
  </si>
  <si>
    <t>サブメンバーの「サブ（代わり）」はsubstituteの省略。</t>
  </si>
  <si>
    <t>&lt;span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t>
  </si>
  <si>
    <t>&lt;span class="w"&gt;&lt;b&gt;【911.pronounce：〜を発音する, 〜を宣言する】&lt;/b&gt;&lt;/span&gt;
&lt;span class="ml"&gt;ラテン語に由来する語で、以下の2つの要素から成る。
&lt;span class="spacer"&gt;&lt;/span&gt;pro（前へ）
nuntius（使者）から派生したnuntiare（告知する）
&lt;span class="spacer"&gt;&lt;/span&gt;この語は、使者が人前へ出て大きな声で伝えるイメージ。そこから、言葉を声に出すこと＝「発音する」や何かを「宣言する」という意味になった。
&lt;div class="sample_image pronounce"&gt;&lt;/div&gt;&lt;/span&gt;</t>
  </si>
  <si>
    <t>&lt;span class="w"&gt;&lt;b&gt;【912.shrink：縮む, 縮小する, ひるむ】&lt;/b&gt;&lt;/span&gt;
&lt;span class="ml"&gt;古英語scrincan（手足を縮める, 自然に収縮する）にさかのぼる。
&lt;span class="spacer"&gt;&lt;/span&gt;この語の核は「ぎゅっと小さく丸まる」。そこからサイズが「縮む, 縮小する」や恐怖で「ひるむ」という意味になる。&lt;/span&gt;</t>
  </si>
  <si>
    <t>&lt;span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t>
  </si>
  <si>
    <t>&lt;span class="w"&gt;&lt;b&gt;【914.trigger：〜を引き起こす, 〜のきっかけとなる】&lt;/b&gt;&lt;/span&gt;
&lt;span class="ml"&gt;オランダ語trekker（引き金）に由来する。
&lt;span class="spacer"&gt;&lt;/span&gt;引き金という名詞から引き金を引く動作へと発展した。銃の引き金を引けば弾が発射されることから、比喩的に何かを「引き起こす, きっかけとなる」という意味になった。&lt;/span&gt;</t>
  </si>
  <si>
    <t>grasp（握る, 把握する）やgrip（握る, グリップ）と関連させて覚える。</t>
  </si>
  <si>
    <t>&lt;span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t>
  </si>
  <si>
    <t>*ghrebh-（つかむ）
&lt;span class="spacer"&gt;&lt;/span&gt;&lt;span class="obsolete"&gt;grasp（握る, 把握する）の語源でもある&lt;/span&gt;</t>
  </si>
  <si>
    <t>&lt;span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t>
  </si>
  <si>
    <t>&lt;span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t>
  </si>
  <si>
    <t>&lt;span class="w"&gt;&lt;b&gt;【918.bob：上下に動く, 〜を上下に動かす】&lt;/b&gt;&lt;/span&gt;
&lt;span class="ml"&gt;中英語bobben（ぴょこぴょこ動く）にさかのぼる。
&lt;span class="spacer"&gt;&lt;/span&gt;おそらく擬音語で、上下に動く感じがbobという短く跳ねるような音で表現されている。&lt;/span&gt;</t>
  </si>
  <si>
    <t>&lt;span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t>
  </si>
  <si>
    <t>&lt;span class="w"&gt;&lt;b&gt;【920.interfere：（in）干渉する, （with）邪魔をする】&lt;/b&gt;&lt;/span&gt;
&lt;span class="ml"&gt;古フランス語に由来する語で、以下の2つの要素から成る。
&lt;span class="spacer"&gt;&lt;/span&gt;entre（〜の間）
ferir（叩く, 打つ）
&lt;span class="spacer"&gt;&lt;/span&gt;このまま日本語にすると「間に入って叩く」となる。進行中の物事の間に入ってぶつかるようなイメージから「干渉する, 邪魔をする」という意味になる。
&lt;div class="sample_image interfere"&gt;&lt;/div&gt;
&lt;span class="spacer"&gt;&lt;/span&gt;interfere &lt;strong&gt;in&lt;/strong&gt;A
Aの領域に入り込んでぶつかるイメージから「干渉する」
&lt;span class="spacer"&gt;&lt;/span&gt;interfere &lt;strong&gt;with&lt;/strong&gt;A
Aにぶつかって摩擦を起こすイメージから「邪魔をする」&lt;/span&gt;</t>
  </si>
  <si>
    <t>&lt;span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t>
  </si>
  <si>
    <t>&lt;span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t>
  </si>
  <si>
    <t>&lt;span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t>
  </si>
  <si>
    <t>just（正しい, ちょうど）
justice（正義）
と関連させて覚える。</t>
  </si>
  <si>
    <t>&lt;span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t>
  </si>
  <si>
    <t>regular（レギュラー, 規則正しい）
irregular（イレギュラー, 不規則な）
regulation（レギュレーション, 規則）
と関連させて覚える。</t>
  </si>
  <si>
    <t>&lt;span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t>
  </si>
  <si>
    <t>&lt;span class="w"&gt;&lt;b&gt;【926.scan：〜をスキャンする, 〜をざっと見る, 〜を注意深く調べる】&lt;/b&gt;&lt;/span&gt;
&lt;span class="ml"&gt;後期ラテン語scandere（登る, 詩を韻律分析する）
&lt;span class="spacer"&gt;&lt;/span&gt;もともとは登ることを表したラテン語が、詩の上下する抑揚や、詩を読む際にリズムを刻む足踏みと結びつき、詩を細かく分析する行為を表すようになった。そこから、詩を分析するように何かを「注意深く調べる」という意味になった。
&lt;span class="spacer"&gt;&lt;/span&gt;またこれとは反対に、全体に視線を走らせる動きに焦点が当たって「ざっと見る」という意味も持つようになった。
&lt;span class="spacer"&gt;&lt;/span&gt;さらに現代の技術の発展により、センサーやビームで対象の表面を順次なぞって読み取る＝「スキャンする」という意味にもなった。&lt;/span&gt;</t>
  </si>
  <si>
    <t>scandere（登る, 上昇する）</t>
  </si>
  <si>
    <t>&lt;span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t>
  </si>
  <si>
    <t>&lt;span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t>
  </si>
  <si>
    <t>再生した動画を一時停止するボタン⏸️をポーズボタン（pause button）と言う。</t>
  </si>
  <si>
    <t>&lt;span class="w"&gt;&lt;b&gt;【929.pause：一時中止する, 立ち止まる】&lt;/b&gt;&lt;/span&gt;
&lt;span class="ml"&gt;ギリシャ語pauein（止める, 中止させる）に由来する。
&lt;span class="spacer"&gt;&lt;/span&gt;ギリシャ語から意味の変化はほとんどない。&lt;/span&gt;</t>
  </si>
  <si>
    <t>&lt;span class="w"&gt;&lt;b&gt;【930.lean：傾く, 寄りかかる】&lt;/b&gt;&lt;/span&gt;
&lt;span class="ml"&gt;古英語hlinian（横になる, 傾ける）にさかのぼる。
&lt;span class="spacer"&gt;&lt;/span&gt;古英語から意味の変化はほとんどなく「傾く, 寄りかかる」という意味になる。&lt;/span&gt;</t>
  </si>
  <si>
    <t>車の前方部と後方部にあるバンパー（bumper）と関連させて覚える。バンパーは車の衝突時の衝撃を軽減するためのもの。
&lt;div class="sample_image bump"&gt;&lt;/div&gt;</t>
  </si>
  <si>
    <t>&lt;span class="w"&gt;&lt;b&gt;【931.bump：ぶつかる, 〜をぶつける】&lt;/b&gt;&lt;/span&gt;
&lt;span class="ml"&gt;語源不明。おそらくbumpは衝突の音を表す擬音語で、日本語の「ドン, バーン」に近いイメージ。&lt;/span&gt;</t>
  </si>
  <si>
    <t>日本語でも使われるフォルダー（folder）と関連させて覚える。フォルダーはもともとバラバラの書類を折りたたんで保管するためのもの。</t>
  </si>
  <si>
    <t>&lt;span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t>
  </si>
  <si>
    <t>&lt;span class="w"&gt;&lt;b&gt;【933.hesitate：ためらう】&lt;/b&gt;&lt;/span&gt;
&lt;span class="ml"&gt;ラテン語haerere（固執する, しがみつく）の反復形haesitare（くっついて動かない）に由来する。
&lt;span class="spacer"&gt;&lt;/span物理的にくっついて動かないことから、心理的に思考や判断が停滞していることを表すようになり、「ためらう」という意味になった。
&lt;div class="sample_image hesitate"&gt;&lt;/div&gt;&lt;/span&gt;</t>
  </si>
  <si>
    <t>haerere（固執する, しがみつく）
&lt;span class="spacer"&gt;&lt;/span&gt;反復形haesitare（くっついて動かない, ためらう）
&lt;span class="spacer"&gt;&lt;/span&gt;過去分詞haesitatus</t>
  </si>
  <si>
    <t>&lt;span class="w"&gt;&lt;b&gt;【934.pump：〜をポンプで送り出す, 〜を汲み出す】&lt;/b&gt;&lt;/span&gt;
&lt;span class="ml"&gt;中世オランダ語pompe（パイプ, 導水管）に由来する。
&lt;span class="spacer"&gt;&lt;/span&gt;おそらくもともとは船の底に溜まった水を排出する際に、木製のプランジャー（ピストン）が水面を「ドンッ」「ゴボッ」と叩く鈍い音をまねした言葉だと考えられる。そこから「ポンプで送り出す, 汲み出す」という意味になった。&lt;/span&gt;</t>
  </si>
  <si>
    <t>&lt;span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t>
  </si>
  <si>
    <t>&lt;span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t>
    <phoneticPr fontId="1"/>
  </si>
  <si>
    <t>&lt;span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t>
  </si>
  <si>
    <t>&lt;span class="w"&gt;&lt;b&gt;【938.confront：〜に立ち向かう, 問題などが立ちはだかる】&lt;/b&gt;&lt;/span&gt;
&lt;span class="ml"&gt;ラテン語に由来する語で、以下の2つの要素から成る。
&lt;span class="spacer"&gt;&lt;/span&gt;com（共に）
frontem（前面, 額）
&lt;span class="spacer"&gt;&lt;/span&gt;相手の前面とこちらの前面が一致するイメージから、自分のすぐ前に何かがある＝「立ち向かう, 立ちはだかる」という意味になる。&lt;/span&gt;</t>
  </si>
  <si>
    <t>confrontari（最も前の面を共有している, 接している）
confrontare（境界を接近させる, 隣接させる）</t>
  </si>
  <si>
    <t>&lt;span class="w"&gt;&lt;b&gt;【939.consult：（に）相談する, 〜を参照する】&lt;/b&gt;&lt;/span&gt;
&lt;span class="ml"&gt;ラテン語に由来する語で、以下の2つの要素から成る。
&lt;span class="spacer"&gt;&lt;/span&gt;con（共に）
sulere（集める）
&lt;span class="spacer"&gt;&lt;/span&gt;このまま日本語にすると「共に集める」となる。これは1人で決定するのではなく、人を呼び集めて話し合うイメージ。そこから誰かに「相談する」となる。また辞書やマニュアル、記録などを専門家として見立てて、何かを「参照する」という意味になる。&lt;/span&gt;</t>
  </si>
  <si>
    <t>&lt;span class="w"&gt;&lt;b&gt;【940.fulfill：〜を果たす, 〜を実現させる】&lt;/b&gt;&lt;/span&gt;
&lt;span class="ml"&gt;古英語にさかのぼり、以下の2つの要素から成る。
full（満ちた, 完全な）
fyllan（満たす）
&lt;span class="spacer"&gt;&lt;/span&gt;このまま日本語にすると「完全に満たす」となる。何らかの行為に関して、それを満たして終わらせるイメージから「果たす, 実現させる」という意味になる。&lt;/span&gt;</t>
  </si>
  <si>
    <t>privilegeのprivi部分はプライベート（private）で、lege部分は法律（legal）と同じ。</t>
  </si>
  <si>
    <t>&lt;span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t>
  </si>
  <si>
    <t>日本語でも使われるフォーム（form, 形）と関連させて覚える。</t>
  </si>
  <si>
    <t>&lt;span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t>
  </si>
  <si>
    <t>日本語でも使われる3D（3次元）や4D（4次元）のD（dimension, dimensional）と関連させて覚える。</t>
  </si>
  <si>
    <t>dis（分けて）＋metiri（測る）
dimetri（測り分ける, 測り出す）
&lt;span class="spacer"&gt;&lt;/span&gt;名詞を作る-ioが付いて
dimensio（測定すること）</t>
  </si>
  <si>
    <t>nerve（神経）やnervous（緊張して, 神経質な）と関連させて覚える。</t>
  </si>
  <si>
    <t>&lt;span class="w"&gt;&lt;b&gt;【944.neuron：ニューロン】&lt;/b&gt;&lt;/span&gt;
&lt;span class="ml"&gt;ギリシャ語neuron（引き伸ばされたもの, 腱, 筋, 神経）に由来する。
&lt;span class="spacer"&gt;&lt;/span&gt;この語の核は「引き伸ばされた糸」。もともとのギリシャ語では、腱や筋、神経などの身体内部に張りめぐらされた線状構造や、弓や楽器の弦を表していた。そこから近代英語において、神経系の構成単位である「ニューロン」を表す用語として使われるようになった。&lt;/span&gt;</t>
  </si>
  <si>
    <t>sensat</t>
  </si>
  <si>
    <t>sense（五感, 意味, 理解, 知的な感覚）との対比で覚える。</t>
  </si>
  <si>
    <t>card（カード）やcharts （カルタ）と兄弟の語。</t>
    <phoneticPr fontId="1"/>
  </si>
  <si>
    <t>&lt;span class="w"&gt;&lt;b&gt;【946.chart：図, グラフ, 海図】&lt;/b&gt;&lt;/span&gt;
&lt;span class="ml"&gt;ギリシャ語khartēs（パピルス, 紙）に由来する。
&lt;span class="spacer"&gt;&lt;/span&gt;もともとはエジプトなどで作られていたパピルス紙自体を表したが、そこから紙に書かれるものへと意味がシフトしていった。
&lt;span class="spacer"&gt;&lt;/span&gt;この語の核は「情報を整理して一覧化したもの」。特に大航海時代には航海士が使う「海図」という意味で使われ、その後、地図のように情報をまとまっている「図, グラフ」という意味にもなった。
&lt;div class="sample_image chart"&gt;&lt;/div&gt;&lt;/span&gt;</t>
    <rPh sb="214" eb="215">
      <t>ゴ</t>
    </rPh>
    <rPh sb="216" eb="217">
      <t>カク</t>
    </rPh>
    <phoneticPr fontId="1"/>
  </si>
  <si>
    <t>&lt;span class="w"&gt;&lt;b&gt;【947.geography：（theが付いて）地理, 地理学】&lt;/b&gt;&lt;/span&gt;
&lt;span class="ml"&gt;ギリシャ語に由来する語で、以下の2つの要素から成る。
&lt;span class="spacer"&gt;&lt;/span&gt;geo（大地）
graphia（記述）
&lt;span class="spacer"&gt;&lt;/span&gt;このまま日本語にすると「大地（地球表面）に関する記述」となる。地球全体を把握することが困難だった時代、探検家や冒険家は未知の大地（geo）を歩き、その場所について記述した（graph）。そこから、ある土地や地域と結びついた地形、気候、人々の生活などの特徴を記述する「地理学, 地理」という意味になった。&lt;/span&gt;</t>
  </si>
  <si>
    <t>&lt;span class="w"&gt;&lt;b&gt;【948.panel：専門家の一団, 討論者一同, パネル】&lt;/b&gt;&lt;/span&gt;
&lt;span class="ml"&gt;ギリシャ語に由来する語で、以下の2つの要素から成る。
&lt;span class="spacer"&gt;&lt;/span&gt;pannus（布の切れ端）
ellus（小さいことを表す）
&lt;span class="spacer"&gt;&lt;/span&gt;このまま日本語にすると「小さい布切れ」となる。中世のイギリスでは、小さい羊皮紙の切れ端に裁判の陪審員として呼ばれた人々の名前を記載した。そこから裁判に限らず、討論や審査などのために呼ばれた「専門家の一団, 討論者一同」という意味になった。
&lt;span class="spacer"&gt;&lt;/span&gt;また「小さい布切れ」は、大きな布に継ぎ当てをする素材としても使われた。そこから、大きな壁やドアの一部にはめ込まれた別の素材（板やガラス）を指すようになり、現在のドアパネル、コントロールパネル、ソーラーパネルといった枠にはめ込まれた「平らな板, パネル」という意味になった。
&lt;div class="sample_image panel"&gt;&lt;/div&gt;&lt;/span&gt;</t>
    <phoneticPr fontId="1"/>
  </si>
  <si>
    <t>&lt;span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t>
  </si>
  <si>
    <t>semestris / semenstris（半年の, 半年ごとの）
se（6：sixの仲間）
mensis（月：moonの仲間）
tris（場所や時間に関連する接尾辞）
&lt;span class="spacer"&gt;&lt;/span&gt;フレーズcursus semestris（6ヶ月の課程）</t>
  </si>
  <si>
    <t>&lt;span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t>
  </si>
  <si>
    <t>&lt;span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t>
    <phoneticPr fontId="1"/>
  </si>
  <si>
    <t>ab（離れて）とuse（使う）からできた語。</t>
  </si>
  <si>
    <t>&lt;span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t>
    <phoneticPr fontId="1"/>
  </si>
  <si>
    <t>&lt;span class="w"&gt;&lt;b&gt;【953.vice：（道徳上の）悪徳, 欠点, 悪癖】&lt;/b&gt;&lt;/span&gt;
&lt;span class="ml"&gt;ラテン語vitium（物理的な欠陥, 道徳的な欠陥や罪）に由来する。
&lt;span class="spacer"&gt;&lt;/span&gt;もともとは物理的な欠陥を表したが、そこから人間の心や行動における道徳的な欠陥へと発展し、道徳的な「悪徳」という意味になった。さらに道徳的なニュアンスが薄まり、性格や振る舞いにおける「欠点, 悪癖」という意味にもなった。&lt;/span&gt;</t>
  </si>
  <si>
    <t>vitium（物理的な欠陥, 道徳的な欠陥や罪）</t>
  </si>
  <si>
    <t>&lt;span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t>
  </si>
  <si>
    <t>&lt;span class="w"&gt;&lt;b&gt;【955.tragedy：悲劇】&lt;/b&gt;&lt;/span&gt;
&lt;span class="ml"&gt;ギリシャ語に由来する語で、以下の2つの要素から成る。
&lt;span class="spacer"&gt;&lt;/span&gt;tragos（ヤギ）
ōidē（歌）
&lt;span class="spacer"&gt;&lt;/span&gt;ヤギの歌から「悲劇」への発展は、一説によると、悲劇の起源となったディオニュソスの祭りの合唱において、俳優や歌手が半獣半人（半分ヤギで半分人間）の精霊であるサテュロスを象徴するためにヤギの皮を身にまとっていたことに由来する。&lt;/span&gt;</t>
  </si>
  <si>
    <t>日本語でも使われるシナリオ（脚本, 筋書き）と関連させて覚える。</t>
  </si>
  <si>
    <t>&lt;span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t>
  </si>
  <si>
    <t>skēnē（テント, 舞台の後ろにある小屋）</t>
  </si>
  <si>
    <t>allergyのall部分はalienと同じで「異なる」で、ergo部分はenergyと同じで「働き」という意味。</t>
  </si>
  <si>
    <t>&lt;span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t>
  </si>
  <si>
    <t>1906年
小児科医クレメンス・E・フォン・ピルケによってギリシャ語をもとに造られたAllergie</t>
  </si>
  <si>
    <t>&lt;span class="w"&gt;&lt;b&gt;【958.wound：負傷, 傷】&lt;/b&gt;&lt;/span&gt;
&lt;span class="ml"&gt;古英語wund（人または動物の身体における刺す・切ることを伴う損傷）にさかのぼる。
&lt;span class="spacer"&gt;&lt;/span&gt;古英語から意味の変化はほとんどない。&lt;/span&gt;</t>
  </si>
  <si>
    <t>&lt;span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t>
  </si>
  <si>
    <t>vaccination（ワクチン接種, 予防接種）も関連させて覚える。</t>
  </si>
  <si>
    <t>&lt;span class="w"&gt;&lt;b&gt;【960.vaccine：ワクチン】&lt;/b&gt;&lt;/span&gt;
&lt;span class="ml"&gt;ラテン語vacca（牛）に由来する。
&lt;span class="spacer"&gt;&lt;/span&gt;18世紀後期、世界中では天然痘という恐ろしい感染症が猛威を振るっていた。そんな中、イギリス人医師エドワード・ジェンナーは、農村で牛の乳搾りをしている女性たちは、天然痘にかからない、あるいはかかっても非常に軽い症状で済むという噂に目をつけた。
&lt;span class="spacer"&gt;&lt;/span&gt;彼女たちは日常的に牛と接する中で、人間の天然痘よりもはるかに症状の軽い牛痘（牛の病気）に感染し、知らず知らずのうちに免疫を獲得していた。ジェンナーは牛からとれた（vaccinus）成分を人間に接種することで、天然痘を防ぐ画期的な方法（種痘）を確立し、これが世界初のワクチンとなった。
&lt;span class="spacer"&gt;&lt;/span&gt;つまり「ワクチン」の語源は文字通り牛からとれたものという意味。後に天然痘以外のすべての予防接種液に対してもvaccineという語が使われるようになった。&lt;/span&gt;</t>
  </si>
  <si>
    <t>1800年、vaccination（予防接種）
人に牛痘ウイルスを注入することで天然痘を予防する行為
予防接種, ワクチン接種
&lt;span class="spacer"&gt;&lt;/span&gt;1846年
vaccine（ワクチン）
予防接種で使われるもの, ワクチン</t>
  </si>
  <si>
    <t>日本語でもメタファーという言葉は使われる。</t>
    <rPh sb="13" eb="15">
      <t>コトバ</t>
    </rPh>
    <phoneticPr fontId="1"/>
  </si>
  <si>
    <t>&lt;span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t>
  </si>
  <si>
    <t>&lt;span class="w"&gt;&lt;b&gt;【962.folk：人々, （folks）みなさん】&lt;/b&gt;&lt;/span&gt;
&lt;span class="ml"&gt;古英語folc（人々, 一般民衆, 民族）にさかのぼる。
&lt;span class="spacer"&gt;&lt;/span&gt;古英語から意味の変化はほとんどない。&lt;/span&gt;</t>
  </si>
  <si>
    <t>&lt;span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t>
  </si>
  <si>
    <t>15世紀初頭
スコットランド語で、運送すること</t>
  </si>
  <si>
    <t>it</t>
  </si>
  <si>
    <t>&lt;span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t>
    <phoneticPr fontId="1"/>
  </si>
  <si>
    <t>天の川（the Milky Way：ミルクの道）やギリシャ神話と関連させて覚える。</t>
  </si>
  <si>
    <t>&lt;span class="w"&gt;&lt;b&gt;【966.galaxy：星雲, 銀河】&lt;/b&gt;&lt;/span&gt;
&lt;span class="ml"&gt;ギリシャ語に由来する語で、以下の2つの要素から成る。
&lt;span class="spacer"&gt;&lt;/span&gt;gala（乳）
ias（形容詞化）
&lt;span class="spacer"&gt;&lt;/span&gt;星やガスや塵が集まって見える天の川は、その見た目が乳白色であることから、ギリシャ神話の女神の乳（gala, galaxias）からできたものと語られていた。ここからgalaxyが天の川を指すようになり、さらに天の川のような「銀河」やその一部であるガスや塵の集まり「星雲」を意味するようになった。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</si>
  <si>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class="spacer"&gt;&lt;/span&gt;形容詞を作るiasが付いて
galaxias（乳の）</t>
  </si>
  <si>
    <t>&lt;span class="w"&gt;&lt;b&gt;【967.mineral：鉱物, ミネラル】&lt;/b&gt;&lt;/span&gt;
&lt;span class="ml"&gt;ラテン語にminera（鉱山）に由来する。
&lt;span class="spacer"&gt;&lt;/span&gt;この語の核は「鉱山で採掘されたもの」。そこから「鉱物, ミネラル」という意味になった。&lt;/span&gt;</t>
  </si>
  <si>
    <t>ゴルフでボールを打つストロークや、水泳の1回手で水をかいて進むストロークのような一瞬の打撃やパワーと関連させて覚える。</t>
  </si>
  <si>
    <t>&lt;span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t>
  </si>
  <si>
    <t>&lt;span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t>
  </si>
  <si>
    <t>&lt;span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t>
  </si>
  <si>
    <t>&lt;span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t>
  </si>
  <si>
    <t>pedestrianのped部分はpedal（ペダル）と同じで「足」を表す。</t>
  </si>
  <si>
    <t>&lt;span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t>
  </si>
  <si>
    <t>&lt;span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t>
  </si>
  <si>
    <t>&lt;span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t>
  </si>
  <si>
    <t>&lt;span class="w"&gt;&lt;b&gt;【974.sibling：きょうだいの1人】&lt;/b&gt;&lt;/span&gt;
&lt;span class="ml"&gt;古英語にさかのぼる語で、以下の2つの要素から成る。
&lt;span class="spacer"&gt;&lt;/span&gt;sibb（親族関係, 血縁関係）
ling（〜に属する人）にさかのぼる。
&lt;span class="spacer"&gt;&lt;/span&gt;男女問わず親類という広い意味から「きょうだい」へ特化した。brother / sisterのように性別を特定しない使い方ができる便利な語。&lt;/span&gt;</t>
  </si>
  <si>
    <t>rat</t>
  </si>
  <si>
    <t>io</t>
  </si>
  <si>
    <t>&lt;span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t>
  </si>
  <si>
    <t>reri（計算する, 考える）
&lt;span class="spacer"&gt;&lt;/span&gt;名詞を作る-ioが付いて
ratio（計算, 手続き, 判断, 理由, 理性）</t>
  </si>
  <si>
    <t>&lt;span class="w"&gt;&lt;b&gt;【976.mixture：混合（物）】&lt;/b&gt;&lt;/span&gt;
&lt;span class="ml"&gt;ラテン語に由来する語で、以下の2つの要素から成る。
&lt;span class="spacer"&gt;&lt;/span&gt;miscere（混ぜる）
ura（名詞化）
&lt;span class="spacer"&gt;&lt;/span&gt;このまま日本語にすると「混ぜること」となる。そこから混ぜ合わせる行為、つまり「混合」という意味になった。また混ぜ合わせることで出来上がる「混合物」という意味にもなった。&lt;/span&gt;</t>
  </si>
  <si>
    <t>日本語でも使われるチャームポイント（魅力）と関連させて覚える。</t>
  </si>
  <si>
    <t>&lt;span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t>
  </si>
  <si>
    <t>英語のradish（ラディッシュ, 大根）と関連させて覚える。</t>
  </si>
  <si>
    <t>&lt;span class="w"&gt;&lt;b&gt;【980.radical：急進的な, 根本的な】&lt;/b&gt;&lt;/span&gt;
&lt;span class="ml"&gt;ラテン語に由来する語で、以下の2つの要素から成る。
&lt;span class="spacer"&gt;&lt;/span&gt;radix（根）
alis（形容詞化）
&lt;span class="spacer"&gt;&lt;/span&gt;植物の根から、比喩的に物事の根本を表すようになって「根本的な」という意味になった。根という意味は、同じラテン語から生まれたradish（大根）や数学のルート（√：根号）にも残っている。
&lt;span class="spacer"&gt;&lt;/span&gt;また政治において、問題の表面ではなく、根本から改革しようとする人々を指すようになる。そうした人たちの改革は、保守派からしたら極端で激しいものだったため、「過激な, 急進的な」という意味にもなった。&lt;/span&gt;</t>
  </si>
  <si>
    <t>&lt;span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t>
  </si>
  <si>
    <t>communicateやcommonなどと関連させて覚える。</t>
  </si>
  <si>
    <t>&lt;span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t>
  </si>
  <si>
    <t>&lt;span class="w"&gt;&lt;b&gt;【984.neutral：中立の】&lt;/b&gt;&lt;/span&gt;
&lt;span class="ml"&gt;ラテン語に由来する語で、以下の3つの要素から成る。
&lt;span class="spacer"&gt;&lt;/span&gt;ne（否定）
uter（どちらか一方）
alis（形容詞化）
&lt;span class="spacer"&gt;&lt;/span&gt;このまま日本語にすると「どちらか一方ではない」となる。どちらか一方に偏ることなく真ん中にいることから「中立の」という意味になる｡
&lt;span class="spacer"&gt;&lt;/span&gt;もとになったラテン語ne（否定）＋uter（どちらか一方）は、イメージとしてはnot either（どちらでもない）に近い。&lt;/span&gt;</t>
  </si>
  <si>
    <t>&lt;span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t>
  </si>
  <si>
    <t>&lt;span class="w"&gt;&lt;b&gt;【986.magnetic：磁気の, 磁石の】&lt;/b&gt;&lt;/span&gt;
&lt;span class="ml"&gt;ギリシャ語ho Magnes lithos（マグネシアの石）に由来する。
&lt;span class="spacer"&gt;&lt;/span&gt;マグネシアとは古代ギリシャの地名で、磁石になる石が採れた場所を表す。この地名から磁石を意味するマグネットや、magnetic「磁石の, 磁気の」という語が生まれた。&lt;/span&gt;</t>
  </si>
  <si>
    <t>pole（ポール, 棒, 極）と関連させて覚える。</t>
  </si>
  <si>
    <t>&lt;span class="w"&gt;&lt;b&gt;【987.polar：極地の, 極の】&lt;/b&gt;&lt;/span&gt;
&lt;span class="ml"&gt;ギリシャ語に由来する語で、以下の2つの要素から成る。
&lt;span class="spacer"&gt;&lt;/span&gt;pólos（球体の軸, 回転軸）
&lt;span class="obsolete"&gt;arius（形容詞化）はラテン語段階で付いた&lt;/span&gt;
&lt;span class="spacer"&gt;&lt;/span&gt;古代の人々が夜空を見上げると、星々は北極星付近のある一点を中心にして、まるで巨大な球体（天球）が回っているようにぐるぐると回転していた。この星空の回転の中心となる軸をギリシャ人はpólosと呼んだ。
&lt;span class="spacer"&gt;&lt;/span&gt;そこから地球の北極と南極を表す「極の」という意味になり、さらに抽象化して、物事が正反対である「対極の」という意味にもなった。
&lt;span class="spacer"&gt;&lt;/span&gt;polarは、軸を意味するpole（ポール）と同じ語源にさかのぼる。またホッキョクグマは英語でpolar bearと言う。&lt;/span&gt;</t>
  </si>
  <si>
    <t>pólos（球体の軸, 回転軸）</t>
  </si>
  <si>
    <t>&lt;span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t>
  </si>
  <si>
    <t>&lt;span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t>
  </si>
  <si>
    <t>&lt;span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t>
  </si>
  <si>
    <t>pati（苦しむ, 耐える）
&lt;span class="spacer"&gt;&lt;/span&gt;過去分詞passus
&lt;span class="spacer"&gt;&lt;/span&gt;形容詞を作る-ivusが付いて
passivus（感じる・苦しむ能力がある）</t>
  </si>
  <si>
    <t>&lt;span class="w"&gt;&lt;b&gt;【991.awful：ひどい, 嫌な, ものすごい】&lt;/b&gt;&lt;/span&gt;
&lt;span class="ml"&gt;古英語にさかのぼる語で、以下の2つの要素から成る。
&lt;span class="spacer"&gt;&lt;/span&gt;ege（恐れ, 畏怖）
full（満ちた）
&lt;span class="spacer"&gt;&lt;/span&gt;このまま日本語にすると「恐れや畏怖に満ちた」となる。この恐れとは単なる恐怖ではなく、人間の力を超えた神や大自然などの圧倒的な力の前にひれ伏したくなるような畏れを表した。
&lt;span class="spacer"&gt;&lt;/span&gt;もともとは神聖なものを畏れ敬うことを表したこの語は、次第にそのニュアンスが失われていき、very badのようなただのネガティブな程度表現となり、「ひどい, 嫌な」という意味になった。
&lt;span class="spacer"&gt;&lt;/span&gt;同じくaweから生まれた語でawesomeがある。こちらは、awefulとは反対にポジティブな評価へと発展して「素晴らしい, 最高の」という意味になった。
&lt;span class="spacer"&gt;&lt;/span&gt;名詞awe（畏怖, 畏敬）はもとの意味を保ってる。&lt;/span&gt;</t>
  </si>
  <si>
    <t>&lt;span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t>
  </si>
  <si>
    <t>&lt;span class="w"&gt;&lt;b&gt;【993.cruel：残酷な】&lt;/b&gt;&lt;/span&gt;
&lt;span class="ml"&gt;ラテン語に由来する語で、以下の2つの要素から成る。
&lt;span class="spacer"&gt;&lt;/span&gt;crudus（生の, 血生臭い, 未加工の）
elis（形容詞化）
&lt;span class="spacer"&gt;&lt;/span&gt;もともとの調理されていなくて生の、血生臭いという物理的な状態が、比喩的に人間的な温かみがなく無慈悲であるという心理的・性格的な意味へと変化して「残酷な」という意味になった。
&lt;span class="spacer"&gt;&lt;/span&gt;cruelは、crude（未加工の, 粗野な）やraw（生の）と同じ印欧祖語にさかのぼる。&lt;/span&gt;</t>
  </si>
  <si>
    <t>*kreue- （生肉、流れる血）</t>
  </si>
  <si>
    <t>&lt;span class="w"&gt;&lt;b&gt;【994.fake：偽の】&lt;/b&gt;&lt;/span&gt;
&lt;span class="ml"&gt;語源不明。1700年代後期に、ロンドンの犯罪者仲間の隠語として使われていたことが確認されている。&lt;/span&gt;</t>
  </si>
  <si>
    <t>動詞urge（強く促す）と関連させて覚える。</t>
  </si>
  <si>
    <t>&lt;span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t>
  </si>
  <si>
    <t>&lt;span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t>
  </si>
  <si>
    <t>&lt;span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t>
  </si>
  <si>
    <t>「キーン」という発音の「鋭い感じ」から意味を覚える。</t>
  </si>
  <si>
    <t>&lt;span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t>
  </si>
  <si>
    <t>&lt;span class="w"&gt;&lt;b&gt;【1000.nonetheless：それにもかかわらず, それでもなお】&lt;/b&gt;&lt;/span&gt;
&lt;span class="ml"&gt;関連語のneverthelessを参照。&lt;/span&gt;</t>
  </si>
  <si>
    <t>&lt;span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t>
  </si>
  <si>
    <t>&lt;span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t>
  </si>
  <si>
    <t>&lt;span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t>
  </si>
  <si>
    <t>vulnerableのvuln部分は「傷」という意味。</t>
    <rPh sb="15" eb="17">
      <t>ブブン</t>
    </rPh>
    <rPh sb="19" eb="20">
      <t>キズ</t>
    </rPh>
    <rPh sb="24" eb="26">
      <t>イミ</t>
    </rPh>
    <phoneticPr fontId="1"/>
  </si>
  <si>
    <t>&lt;span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t>
  </si>
  <si>
    <t>&lt;span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t>
  </si>
  <si>
    <t>日本語でも使われる臓器や血液を提供するドナーと関連させて覚える。</t>
  </si>
  <si>
    <t>&lt;span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t>
  </si>
  <si>
    <t>&lt;span class="w"&gt;&lt;b&gt;【1005.crack：ひびが入る, 〜にひびを入れる】&lt;/b&gt;&lt;/span&gt;
&lt;span class="ml"&gt;古英語cracian（鋭い音を立てる）にさかのぼる。
&lt;span class="spacer"&gt;&lt;/span&gt;おそらくもともとは擬音語で、クラックは何かで生じる鋭い音を表していた。日本語で言えば「ガシャン, カキン, パリン」に近いと思われる。そうした鋭い音は何かが壊れる際に立つので「ひびが入る, ひびを入れる」という意味になった。&lt;/span&gt;</t>
  </si>
  <si>
    <t>&lt;span class="w"&gt;&lt;b&gt;【1006.tap：①〜を軽く叩く, ②（液体など）を出す, 〜を盗聴する】&lt;/b&gt;&lt;/span&gt;
&lt;span class="ml"&gt;①と②は語源が異なる
&lt;span class="spacer"&gt;&lt;/span&gt;①中英語tappen（軽く叩く, 軽く叩いて音を立てる）にさかのぼる。
&lt;span class="spacer"&gt;&lt;/span&gt;これは叩く音を表した擬音語と考えられる。日本語で言うと「ポン, パッ」のイメージ。そこから「軽く叩く」という意味になる。
&lt;span class="spacer"&gt;&lt;/span&gt;②中英語tappe（蛇口）にさかのぼる。
&lt;span class="spacer"&gt;&lt;/span&gt;蛇口という物の名前から「液体を出す」という動詞になった。また蛇口から液体を出すように秘密裏に情報を抜き出すことから「盗聴する」という意味にもなった。&lt;/span&gt;</t>
  </si>
  <si>
    <t>&lt;span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t>
  </si>
  <si>
    <t>&lt;span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t>
  </si>
  <si>
    <t>&lt;span class="w"&gt;&lt;b&gt;【1011.burst：破裂する, （into）突然始める】&lt;/b&gt;&lt;/span&gt;
&lt;span class="ml"&gt;古英語berstan（突然壊れる, 破裂する）にさかのぼる。
&lt;span class="spacer"&gt;&lt;/span&gt;「破裂する」からburst intoで破裂するように勢いよくある行動や状態に入ることを表し、「突然始める」という意味になった。&lt;/span&gt;</t>
  </si>
  <si>
    <t>&lt;span class="w"&gt;&lt;b&gt;【1012.heal：（人や傷など）を癒す】&lt;/b&gt;&lt;/span&gt;
&lt;span class="ml"&gt;印欧祖語*kailo-（完全な）に由来する。これはwhole（完全な, 全体の）やhealth（健康）の語源でもある。健康（health）とは、何も欠けていない完全な状態（whole）を表す。
&lt;span class="spacer"&gt;&lt;/span&gt;healという動詞の核は「誰かを完全な状態（whole）にする」。そこから何も損なわれていない健康な状態にする、つまり「癒す」という意味になる。
&lt;span class="spacer"&gt;&lt;/span&gt;healの意味は、health（健康）から名詞化するthを取って「健康にする」とイメージしてもよい。&lt;/span&gt;</t>
  </si>
  <si>
    <t>&lt;span class="w"&gt;&lt;b&gt;【1013.forbid：〜を禁じる】&lt;/b&gt;&lt;/span&gt;
&lt;span class="ml"&gt;古英語にさかのぼり、以下の2つの要素から成る。
&lt;span class="spacer"&gt;&lt;/span&gt;
for（否定, 完全）＋beodan（命じる）
&lt;span class="spacer"&gt;&lt;/span&gt;この語の核は「反対の命令をする」。権威ある主体が、相手が行おうとしていることと反対の命令をする、つまりそれを「禁止する」という意味になる。
&lt;span class="spacer"&gt;&lt;/span&gt;旧約聖書の「創世記」で、神がアダムとイブに食べてはならないと命じた果実をforbidden fruitという。&lt;/span&gt;</t>
  </si>
  <si>
    <t>&lt;span class="w"&gt;&lt;b&gt;【1014.install：〜をインストールする, 〜を設置する, 〜を就任させる】&lt;/b&gt;&lt;/span&gt;
&lt;span class="ml"&gt;ラテン語に由来する語で、以下の2つの要素から成る。
&lt;span class="spacer"&gt;&lt;/span&gt;in（中に）
stallum（座席）
&lt;span class="spacer"&gt;&lt;/span&gt;この語の核は「ある座席（の中）に座らせる」。誰かを正式な座席に座らせることから比喩的に、ある地位に「就任させる」という意味になった。また何かを適切なポジションに座らせることから、何かを適切な場所に「設置する」という意味になった。さらに、ソフトウェアをコンピュータ内の所定の位置に座らせることから「インストールする」という意味もなった。&lt;/span&gt;</t>
  </si>
  <si>
    <t>diminishのmini部分はミニ（小さい）と同じ。</t>
  </si>
  <si>
    <t>&lt;span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t>
  </si>
  <si>
    <t>&lt;span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t>
    <phoneticPr fontId="1"/>
  </si>
  <si>
    <t>&lt;span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t>
    <phoneticPr fontId="1"/>
  </si>
  <si>
    <t>&lt;span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t>
    <phoneticPr fontId="1"/>
  </si>
  <si>
    <t>&lt;span class="w"&gt;&lt;b&gt;【1016.cite：〜を引き合いに出す, 〜を引用する】&lt;/b&gt;&lt;/span&gt;
&lt;span class="ml"&gt;ラテン語citare（頻繁に呼びかける, 呼び出す, 促す）に由来する。
&lt;span class="spacer"&gt;&lt;/span&gt;この語の核は「呼び出す」。もともとは法廷などの公式の場に誰かを呼び出し、証言させることを表した。そこから、自分の主張の正当性や妥当性を示すための根拠として、権威ある文献や証拠などを議論の場に呼び出すというニュアンスへと変化して「引き合いに出す, 引用する」という意味になった。&lt;/span&gt;</t>
  </si>
  <si>
    <t>クォーテーションマーク（引用符, ' 'や" "）と関連させて覚える。この記号は引用するときに使う。</t>
  </si>
  <si>
    <t>disputeのpure部分はcompute / computerと同じで「考える, 計算する」。</t>
  </si>
  <si>
    <t>&lt;span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t>
    <phoneticPr fontId="1"/>
  </si>
  <si>
    <t>スポーツのハイライト（目立つ部分）やマーカー（ハイライト）と関連させて覚える。</t>
  </si>
  <si>
    <t>attractの反対として覚える。
attract：ad（何かへ）tract（引く）
distract：dis（離れて）tract（引く）</t>
    <rPh sb="29" eb="30">
      <t>ナニ</t>
    </rPh>
    <rPh sb="39" eb="40">
      <t>ヒ</t>
    </rPh>
    <rPh sb="56" eb="57">
      <t>ハナ</t>
    </rPh>
    <phoneticPr fontId="1"/>
  </si>
  <si>
    <t>&lt;span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t>
    <phoneticPr fontId="1"/>
  </si>
  <si>
    <t>ゲームのチート（不正行為）や、テストのチート・チーティング（カンニング）と関連させて覚える。</t>
  </si>
  <si>
    <t>&lt;span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t>
  </si>
  <si>
    <t>escheoir（起こる, 誰かに降りかかる, 生じる, 法的に失効する）
&lt;span class="spacer"&gt;&lt;/span&gt;過去分詞escheat
法律用語で、相続人がいない場合に財産を国家が没収する</t>
  </si>
  <si>
    <t>fosterのfo部分は、feed（餌）やfood（食べ物）と関連する。</t>
  </si>
  <si>
    <t>&lt;span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t>
  </si>
  <si>
    <t>*pa-（食べる, 養う）
&lt;span class="spacer"&gt;&lt;/span&gt;&lt;span class="obsolete"&gt;この印欧祖語からはfeed（餌）やfood（食べもの）も生まれている&lt;/span&gt;</t>
  </si>
  <si>
    <t>&lt;span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t>
    <phoneticPr fontId="1"/>
  </si>
  <si>
    <t>ob（〜に向かって）＋audire（聞く）
oboedire（〜に耳を傾ける, 従う）</t>
  </si>
  <si>
    <t>bind（縛る）やbond（絆, 結びつけること）と関連させて覚える。</t>
  </si>
  <si>
    <t>&lt;span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t>
  </si>
  <si>
    <t>bindan（縛る）の使役形bendan（弓を引く, 曲がった状態にする）</t>
  </si>
  <si>
    <t>prive部分はprivate（個人の）やprivacy（プライバシー）と同じ。</t>
  </si>
  <si>
    <t>&lt;span class="w"&gt;&lt;b&gt;【1025.deprive：（of）AからBを奪う】&lt;/b&gt;&lt;/span&gt;
&lt;span class="ml"&gt;ラテン語に由来する語で、以下の2つの要素から成る。
&lt;span class="spacer"&gt;&lt;/span&gt;de（完全に）
privus（個人の）から派生したprivare（何かから奪う）
&lt;span class="spacer"&gt;&lt;/span&gt;この語の核は「何かから引き離されている」。prive部分はprivateやprivacyと同じ語源にさかのぼる。プライベートやプライバシーは、公から切り離して個別の状態になっていること。そこから何かを引き離す＝「奪う」という意味になった。
&lt;span class="spacer"&gt;&lt;/span&gt;deprive A of B
このofは分離を示して「BからAを奪う」という意味になる。
&lt;div class="sample_image deprive"&gt;&lt;/div&gt;&lt;/span&gt;</t>
    <phoneticPr fontId="1"/>
  </si>
  <si>
    <t>government（政府）
governance（統治）
governor（統治者）
これらと関連させて覚える。</t>
  </si>
  <si>
    <t>&lt;span class="w"&gt;&lt;b&gt;【1026.govern：〜を支配する, 〜を統治する】&lt;/b&gt;&lt;/span&gt;
&lt;span class="ml"&gt;ギリシャ語kybernan（船を操縦する, 舵を取る, 導く, 統治する）に由来する。
&lt;span class="spacer"&gt;&lt;/span&gt;もともとは船を操縦して舵を取ることを表した。そこから比喩的に、人や集団、組織、国などの舵を取って未来へ導いていく、つまり「支配する, 統治する」という意味になった。
&lt;div class="sample_image govern"&gt;&lt;/div&gt;&lt;/span&gt;</t>
    <phoneticPr fontId="1"/>
  </si>
  <si>
    <t>&lt;span class="w"&gt;&lt;b&gt;【1027.log：ログインする, 〜を記録する】&lt;/b&gt;&lt;/span&gt;
&lt;span class="ml"&gt;近代英語のlog-book（船の速度や進行などの日々の記録）にさかのぼる。
&lt;span class="spacer"&gt;&lt;/span&gt;16世紀頃の大航海時代、船乗りたちは海上で自船の速度を測るため、等間隔に結び目を作った長いロープの先端に木の塊を結びつけ、それを船尾から海へ投げ込んだ。木の塊は海面を漂い、船が進むにつれてロープが引っ張られていく。一定時間の間にロープの結び目がいくつ海へ引き出されたかを数えることで、船の速度を計算し、その結果を専用の帳簿（log-book）に記録した。そこから一般的に何かを「記録する」という意味になった。
&lt;span class="spacer"&gt;&lt;/span&gt;さらにコンピュータの登場により、システムの稼働状況や、いつ誰がどこから接続したかなどの通信履歴の記録をログと呼ぶようになる。システムに入る（in）ことで、その人の通信がログ（log）に記録されることから「ログインする」という意味になった。&lt;/span&gt;</t>
  </si>
  <si>
    <t>14世紀初頭
木の塊</t>
  </si>
  <si>
    <t>&lt;span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t>
    <phoneticPr fontId="1"/>
  </si>
  <si>
    <t>&lt;span class="w"&gt;&lt;b&gt;【1029.bully：〜をいじめる, 〜を脅す】&lt;/b&gt;&lt;/span&gt;
&lt;span class="ml"&gt;近代英語にさかのぼり、良い意味から悪い意味へと変化していった語。
&lt;span class="spacer"&gt;&lt;/span&gt;もともとは恋人などの親しい人を表したが、そこから親しい仲間内で威勢がよく頼りになる人という意味まで広がった。しかし威勢がいい人は周囲に威圧的態度をとることから、弱者をいじめる人へと発展して「脅す, いじめる」という意味になった。&lt;/span&gt;</t>
  </si>
  <si>
    <t>1530年代
恋人
&lt;span class="spacer"&gt;&lt;/span&gt;17世紀
立派な仲間
威勢のいい人
&lt;span class="spacer"&gt;&lt;/span&gt;1680年代 
弱者をいじめる人
&lt;span class="spacer"&gt;&lt;/span&gt;1710年、動詞になって
威圧的な態度で脅す
いじめる</t>
  </si>
  <si>
    <t>&lt;span class="w"&gt;&lt;b&gt;【1030.leap：跳ぶ, さっと動く】&lt;/b&gt;&lt;/span&gt;
&lt;span class="ml"&gt;古英語hleapan（跳ぶ, 走る, 勢いよく地面を離れる）にさかのぼる。
&lt;span class="spacer"&gt;&lt;/span&gt;もともとは走ると跳ぶの両方の意味を持ち、両足が地面から離れて勢いよく前へ進むような、エネルギーに満ちた力強い移動動作を表した。そこから勢いよく「跳ぶ, さっと動く」という意味になった。&lt;/span&gt;</t>
  </si>
  <si>
    <t>hleapan（跳ぶ, 走る, 勢いよく地面を離れる）</t>
  </si>
  <si>
    <t>&lt;span class="w"&gt;&lt;b&gt;【1031.astonish：〜を驚かす】&lt;/b&gt;&lt;/span&gt;
&lt;span class="ml"&gt;ラテン語に由来する語で、以下の2つの要素から成る。
&lt;span class="spacer"&gt;&lt;/span&gt;ex（外へ）
tonare（雷が鳴る）
&lt;span class="spacer"&gt;&lt;/span&gt;この語の核は「雷に打たれたように意識を外へ飛ばす」。そこから言葉も出なくなるような凄まじい衝撃をともなって「驚かす」という意味になった。
&lt;div class="sample_image astonish"&gt;&lt;/div&gt;
&lt;span class="spacer"&gt;&lt;/span&gt;astonishは、スタンガンstun gunの動詞stun（気絶させる, 呆然とさせる）と兄弟語。&lt;/span&gt;</t>
    <phoneticPr fontId="1"/>
  </si>
  <si>
    <t>日本語のスリルと同じ。</t>
  </si>
  <si>
    <t>&lt;span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t>
  </si>
  <si>
    <t>&lt;span class="w"&gt;&lt;b&gt;【1033.nod：うなずく, 会釈する, うとうとする】&lt;/b&gt;&lt;/span&gt;
&lt;span class="ml"&gt;語源不明。この語の核は「頭を軽く動かす」。頭をコクリと動かすことから「うなずく, 会釈する」や「うとうとする」という意味になった。&lt;/span&gt;</t>
  </si>
  <si>
    <t>&lt;span class="w"&gt;&lt;b&gt;【1034.bow：おじぎする, 屈服する】&lt;/b&gt;&lt;/span&gt;
&lt;span class="ml"&gt;古英語bugan（曲げる, 曲がる, お辞儀する, 屈服する）にさかのぼる。
&lt;span class="spacer"&gt;&lt;/span&gt;もともとは物理的に物を曲げることを表したが、そこから体を曲げて「おじぎする」や身を屈めることから「屈服する」という意味になった。
&lt;span class="spacer"&gt;&lt;/span&gt;発音は異なるがrainbow（虹）やbow（弓）とbow（おじぎする）は同じ印欧祖語から生まれている。どちらも「曲げる」ことなので関連させて覚える。&lt;/span&gt;</t>
  </si>
  <si>
    <t>日本語のブレンドすると同じ。</t>
  </si>
  <si>
    <t>&lt;span class="w"&gt;&lt;b&gt;【1035.blend：〜を混ぜる】&lt;/b&gt;&lt;/span&gt;
&lt;span class="ml"&gt;古英語blandan（混ぜる）にさかのぼる。古英語から意味の変化はほとんどない。&lt;/span&gt;</t>
  </si>
  <si>
    <t>&lt;span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t>
  </si>
  <si>
    <t>pitchは「上から下へ振る動き」というイメージ。</t>
  </si>
  <si>
    <t>&lt;span class="w"&gt;&lt;b&gt;【1037.pitch：〜を投げる, 倒れる, 縦揺れする】&lt;/b&gt;&lt;/span&gt;
&lt;span class="ml"&gt;中英語にさかのぼり、もともとは杭を打ち込むことを表した。現在でも杭を打ってテントを立てることからpitch a tent（テントを張る）という形で使われる。
&lt;span class="spacer"&gt;&lt;/span&gt;この語の核は、杭を打つときに繰り返す「上下の動き」や「腕を振り下ろして力を加える動き」。そこから「縦揺れする」という上下の動きや、「倒れる」という上から下への動き、何かを「投げる」という上から下への腕の動きへと発展した。&lt;/span&gt;</t>
  </si>
  <si>
    <t>これはship（船）と関わりのある語。もともとの意味は船の装備。</t>
  </si>
  <si>
    <t>&lt;span class="w"&gt;&lt;b&gt;【288.moral：道徳の, 倫理的な】&lt;/b&gt;&lt;/span&gt;
&lt;span class="ml"&gt;ラテン語に由来する語で、以下の2つの要素から成る。
&lt;span class="spacer"&gt;&lt;/span&gt;mos（人の気質, 習慣）
alis（形容詞化）
&lt;span class="spacer"&gt;&lt;/span&gt;このラテン語は、ギリシャ語ethikos（道徳の, 倫理の）を翻訳するために造られたことから「道徳の, 倫理的な」という意味になる。
&lt;span class="spacer"&gt;&lt;/span&gt;moralは、一人ひとりが社会の中で善い人間であろうとするときに、内面に持っている善悪の判断基準を表す。
これに対してethicsは社会や集団が作った体系的・理論的な規範を表す。&lt;/span&gt;</t>
  </si>
  <si>
    <t>mos（人の気質）/ 複数形で慣習
&lt;span class="spacer"&gt;&lt;/span&gt;形容詞を作る-alisが付いて
moralis（マナーに関する, 社会における適切な行動に関する）
&lt;span class="spacer"&gt;&lt;/span&gt;ギリシャ語ethikos（倫理：ethicsの語源）を翻訳するために造られた語</t>
  </si>
  <si>
    <t>&lt;span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t>
  </si>
  <si>
    <t>&lt;span class="w"&gt;&lt;b&gt;【1043.merit：利点, 功績, 価値】&lt;/b&gt;&lt;/span&gt;
&lt;span class="ml"&gt;ラテン語mereri（値する, 稼ぐ, 得る）に由来する。
&lt;span class="spacer"&gt;&lt;/span&gt;もともとは稼ぎ出したものや何かの報い、価値などを表した。そこから宗教的な意味で神からの報いを表すようになり、さらに徐々に宗教的なニュアンスが薄れ、そのものに本来的に備わっている「利点, 功績, 価値」といった意味になった。&lt;/span&gt;</t>
  </si>
  <si>
    <t>sym（syn）はsynchronize（シンクロする, 同時である）のsyn（シン）と同じ。
pathyはpassion（情熱）と関連する。</t>
  </si>
  <si>
    <t>&lt;span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t>
  </si>
  <si>
    <t>pli</t>
  </si>
  <si>
    <t>complement（補足）と全く同じ語から生まれた。意味の分化にともなってスペルがcomplimentになった。</t>
  </si>
  <si>
    <t>&lt;span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t>
  </si>
  <si>
    <t>&lt;span class="w"&gt;&lt;b&gt;【1047.ray：光線】&lt;/b&gt;&lt;/span&gt;
&lt;span class="ml"&gt;ラテン語radius（中心から放射状に伸びる直線状のもの, 棒, 光線, 円の半径）に由来する。
&lt;span class="spacer"&gt;&lt;/span&gt;この語の核は「中心から放射状に伸びる直線」。そこから円の半径（radius）や太陽などの光源から放たれる光の筋を表すようになり、何かの「光線」という意味になった。&lt;/span&gt;</t>
  </si>
  <si>
    <t>&lt;span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t>
  </si>
  <si>
    <t>&lt;span class="w"&gt;&lt;b&gt;【1049.joint：関節, 接合部】&lt;/b&gt;&lt;/span&gt;
&lt;span class="ml"&gt;ラテン語iungere（結合する：joinの語源）に由来する。
&lt;span class="spacer"&gt;&lt;/span&gt;これは結合している部分を指すことから「関節, 接合部」という意味になる。&lt;/span&gt;</t>
  </si>
  <si>
    <t>pedit</t>
  </si>
  <si>
    <t>expeditionのped部分は、pedal（ペダル）と同じで「足」を意味する。</t>
  </si>
  <si>
    <t>pes（足）から派生した*pedis（足の鎖, 足かせ）
&lt;span class="spacer"&gt;&lt;/span&gt;ex（外に）＋*pedis（足の鎖, 足かせ）
expedire（足かせを解いて自由にする, 準備する, 用意する）
&lt;span class="spacer"&gt;&lt;/span&gt;名詞を作る-ioが付いて
expeditio（軍事行動, 遠征）</t>
  </si>
  <si>
    <t>ad（〜へ）＋alescere（成長する）
adolescere（〜へ成長する）
&lt;span class="spacer"&gt;&lt;/span&gt;現在分詞になって
adolescens（成長している, 成熟に近い, 若々しい, 若者, 青年）</t>
  </si>
  <si>
    <t>&lt;span class="w"&gt;&lt;b&gt;【1052.shade：（日）陰, 色合い, 日よけ, 微妙な相違】&lt;/b&gt;&lt;/span&gt;
&lt;span class="ml"&gt;古英語sceadu（陰, 日陰の場所, まぶしさからの保護）にさかのぼる。
&lt;span class="spacer"&gt;&lt;/span&gt;古英語から変わらず「（日）陰」を意味する。そしてそこから発展して、色の暗さで変わる「色合い」、色合いのような「微妙な違い」、日をよける「日よけ, サンシェード」などの意味になった。&lt;/span&gt;</t>
  </si>
  <si>
    <t>&lt;span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t>
  </si>
  <si>
    <t>&lt;span class="w"&gt;&lt;b&gt;【1054.ethic：倫理, （ethics）倫理規範, 倫理学】&lt;/b&gt;&lt;/span&gt;
&lt;span class="ml"&gt;ギリシャ語に由来する語で、以下の2つの要素から成る。
&lt;span class="spacer"&gt;&lt;/span&gt;ēthos（習慣, 道徳的人格）
ikos（形容詞化）
&lt;span class="spacer"&gt;&lt;/span&gt;習慣という人々の行動の積み重ねによって形成され、共有される集団の中の規範＝「倫理」を意味する。ethicsは集団的な規範・ルールで、moralは善悪の判断を表す。
&lt;span class="spacer"&gt;&lt;/span&gt;たとえば、弁護士が犯罪者だと分かっていても弁護するのは、弁護士集団（職業）のルールethicsに従っている。その弁護士が犯罪者を弁護したくないと思うのは、善悪の判断moralの問題。&lt;/span&gt;</t>
  </si>
  <si>
    <t>pen</t>
  </si>
  <si>
    <t>&lt;span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t>
  </si>
  <si>
    <t>&lt;span class="w"&gt;&lt;b&gt;【1057.scheme：計画, 体系】&lt;/b&gt;&lt;/span&gt;
&lt;span class="ml"&gt;ギリシャ語skhēma（ある状態に保たれている形, 外観）に由来する。
&lt;span class="spacer"&gt;&lt;/span&gt;「ある状態に保たれている形」から、もともとは何かの図解や、占星術における星の配置図などを指した。この語で重要なのは、抽象的でバラバラに存在する考えや要素を、それぞれ関係づけ、体系的に配置して一つの「形」にすること。
&lt;span class="spacer"&gt;&lt;/span&gt;頭の中にバラバラに浮かぶ考えを具体的に組み立てて形にしたものは、ある目的への「計画」という意味になる。また、ある秩序に基づいて各要素を組み合わせ、全体として形にしたものは「体系」という意味になる。&lt;/span&gt;
&lt;div class="animation scheme"&gt;&lt;/div&gt;</t>
  </si>
  <si>
    <t>nutrit</t>
  </si>
  <si>
    <t>&lt;span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t>
  </si>
  <si>
    <t>&lt;span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t>
  </si>
  <si>
    <t>&lt;span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t>
  </si>
  <si>
    <t>&lt;span class="w"&gt;&lt;b&gt;【1063.clinic：診療所, クリニック】&lt;/b&gt;&lt;/span&gt;
&lt;span class="ml"&gt;ギリシャ語に由来する語で、以下の2つの要素から成る。
&lt;span class="spacer"&gt;&lt;/span&gt;kline（ベッド, 人が横たわるもの）
ikos（形容詞化）
&lt;span class="spacer"&gt;&lt;/span&gt;もともとはベッドを表し、techniqueの語源であるtechneと結びついて、病床で行われる治療術（klinike techne）という表現になった。本来は医師が医療行為を行うために赴く病床を表したが、後に診療の場が施設へと集約され、患者が行く「診療所, クリニック」という意味になった。&lt;/span&gt;</t>
    <rPh sb="153" eb="157">
      <t>ケイヨウシカ</t>
    </rPh>
    <rPh sb="196" eb="197">
      <t>アラワ</t>
    </rPh>
    <rPh sb="209" eb="211">
      <t>ゴゲン</t>
    </rPh>
    <rPh sb="221" eb="222">
      <t>ムス</t>
    </rPh>
    <rPh sb="230" eb="231">
      <t>オコナ</t>
    </rPh>
    <rPh sb="234" eb="237">
      <t>チリョウジュツ</t>
    </rPh>
    <rPh sb="256" eb="258">
      <t>ヒョウゲン</t>
    </rPh>
    <rPh sb="263" eb="265">
      <t>ホンライ</t>
    </rPh>
    <rPh sb="274" eb="275">
      <t>オコナ</t>
    </rPh>
    <rPh sb="279" eb="280">
      <t>オモム</t>
    </rPh>
    <rPh sb="281" eb="283">
      <t>ビョウショウ</t>
    </rPh>
    <rPh sb="284" eb="285">
      <t>アラワ</t>
    </rPh>
    <rPh sb="308" eb="309">
      <t>イ</t>
    </rPh>
    <rPh sb="311" eb="314">
      <t>シンリョウジョ</t>
    </rPh>
    <rPh sb="325" eb="327">
      <t>イミ</t>
    </rPh>
    <phoneticPr fontId="1"/>
  </si>
  <si>
    <t>kline（ベッド, 人が横たわるもの）
&lt;span class="spacer"&gt;&lt;/span&gt;形容詞を作る-ikosが付いて
klinikos（ベッドの, 寝たままの）
&lt;span class="spacer"&gt;&lt;/span&gt;
klinike techne（病床での実践）</t>
    <rPh sb="80" eb="81">
      <t>ネ</t>
    </rPh>
    <phoneticPr fontId="1"/>
  </si>
  <si>
    <t>&lt;span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t>
  </si>
  <si>
    <t>&lt;span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t>
  </si>
  <si>
    <t>&lt;span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t>
  </si>
  <si>
    <t>&lt;span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t>
  </si>
  <si>
    <t>&lt;span class="w"&gt;&lt;b&gt;【1062.poll：世論調査, 投票（全体）】&lt;/b&gt;&lt;/span&gt;
&lt;span class="ml"&gt;中低地ドイツ語・中世オランダ語のpol（頭, 頂部）に由来する。
&lt;span class="spacer"&gt;&lt;/span&gt;この語の核は「頭の数を数えること」。動物や人の頭を数えて全体の状況を把握する行為から発展して、何かを集計したり調査したりすることを表すようになった。「世論調査」「アンケート調査」「投票結果, 投票総数」といった集計する仕組みや集計結果を意味する。
&lt;div class="sample_image poll"&gt;&lt;/div&gt;&lt;/span&gt;</t>
  </si>
  <si>
    <t>&lt;span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t>
    <phoneticPr fontId="1"/>
  </si>
  <si>
    <t>&lt;span class="w"&gt;&lt;b&gt;【1065.fatigue：疲労】&lt;/b&gt;&lt;/span&gt;
&lt;span class="ml"&gt;ラテン語fatigare（崩壊させる, へとへとにする, 疲れさせる）に由来する。
&lt;span class="spacer"&gt;&lt;/span&gt;この語の核は「体が崩れる」。へとへとになって崩れ落ちることから「疲労」という意味になる。&lt;/span&gt;</t>
  </si>
  <si>
    <t>&lt;span class="w"&gt;&lt;b&gt;【1066.dilemma：ジレンマ, 板ばさみ】&lt;/b&gt;&lt;/span&gt;
&lt;span class="ml"&gt;ギリシャ語に由来する語で、以下の2つの要素から成る。
&lt;span class="spacer"&gt;&lt;/span&gt;di（2つの）
lemma（前提, 命題）
&lt;span class="spacer"&gt;&lt;/span&gt;このまま日本語にすると「2つの前提」となる。もともとは、相手に2つの選択肢を提示し、どちらを選んでも相手にとって不都合な結論に至るように追い込む論法を表した。そこから、2つの望ましくない選択肢の間で選択しなければならないこと、つまり「ジレンマ, 板ばさみ」という意味になった。
&lt;div class="sample_image dilemma"&gt;&lt;/div&gt;&lt;/span&gt;</t>
    <phoneticPr fontId="1"/>
  </si>
  <si>
    <t>di（2つの）＋lemma（前提, 命題）
dilemma（2重の命題）</t>
  </si>
  <si>
    <t>&lt;span class="w"&gt;&lt;b&gt;【1067.queue：（順番を待つ）列】&lt;/b&gt;&lt;/span&gt;
&lt;span class="ml"&gt;ラテン語coda（尾）から派生したフランス語
cue, coe, queue（尾）に由来する。
&lt;span class="spacer"&gt;&lt;/span&gt;もともとは動物の尻尾を表した。そこから長く垂れ下がるものや長く連なるものを表すようになり、「列」という意味になった。
&lt;div class="sample_image queue"&gt;&lt;/div&gt;&lt;/span&gt;</t>
    <phoneticPr fontId="1"/>
  </si>
  <si>
    <t>&lt;span class="w"&gt;&lt;b&gt;【1068.curve：カーブ, 曲線】&lt;/b&gt;&lt;/span&gt;
&lt;span class="ml"&gt;ラテン語curvare（曲げる）に由来する。
&lt;span class="spacer"&gt;&lt;/span&gt;ラテン語から意味の変化はほとんどなく「カーブ, 曲線」という意味になった。&lt;/span&gt;</t>
  </si>
  <si>
    <t>narrate（物語る）やnarration（ナレーション, 語ること）と関連させて覚える。narrativeは語られるもの。</t>
  </si>
  <si>
    <t>&lt;span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t>
  </si>
  <si>
    <t>&lt;span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t>
  </si>
  <si>
    <t>&lt;span class="w"&gt;&lt;b&gt;【1071.file：ファイル】&lt;/b&gt;&lt;/span&gt;
&lt;span class="ml"&gt;ラテン語filum（糸, 紐）に由来する。
&lt;span class="spacer"&gt;&lt;/span&gt;もともとは文書を綴じる紐を表したが、そこから綴じられたもの自体をさして「ファイル」という意味になった。&lt;/span&gt;</t>
  </si>
  <si>
    <t>&lt;span class="w"&gt;&lt;b&gt;【1072.wilderness：荒野】&lt;/b&gt;&lt;/span&gt;
&lt;span class="ml"&gt;古英語にさかのぼり、以下の3つの要素から成る。
&lt;span class="spacer"&gt;&lt;/span&gt;wild（野生の）
deor（動物：deerの語源）
ness（名詞化）
&lt;span class="spacer"&gt;&lt;/span&gt;このまま日本語にすると「野生の動物」となる。そこから野生の動物が住むような、人がいない未開墾の地を指して「荒野」という意味になった。
&lt;span class="spacer"&gt;&lt;/span&gt;&lt;span class="obsolete"&gt;deerは今ではシカを指すが、もとは野生動物全般を意味した。&lt;/span&gt;&lt;/span&gt;</t>
  </si>
  <si>
    <t>&lt;span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t>
  </si>
  <si>
    <t>&lt;span class="w"&gt;&lt;b&gt;【1074.panic：パニック】&lt;/b&gt;&lt;/span&gt;
&lt;span class="ml"&gt;ギリシャ語panikon deima（パーンの恐怖）に由来する。
&lt;span class="spacer"&gt;&lt;/span&gt;ギリシャ神話において、パンは半人半獣（上半身が人で下半身がヤギ）の姿をしており、突然叫び声を上げて人間や動物を理由なき恐怖に陥れるとされていた。そこから突然集団に広がる恐怖＝「パニック」という意味になった。&lt;/span&gt;</t>
  </si>
  <si>
    <t>&lt;span class="w"&gt;&lt;b&gt;【1075.fabric：織物, 布, 構造】&lt;/b&gt;&lt;/span&gt;
&lt;span class="ml"&gt;ラテン語faber（硬い素材を扱う職人）に由来する。
&lt;span class="spacer"&gt;&lt;/span&gt;もともとは鍛冶屋や細工師などの職人を表した。そこから職人の作業場や技術、さらに職人が作り上げたもの、特に材料が緻密にまとめられた構造物へと発展していった。そのため、社会の構造や建物の骨組みなどの「構造」という意味を持つ。
&lt;span class="spacer"&gt;&lt;/span&gt;また近代英語では、糸を規則正しく組み立てて作った構造物ということから、繊維産業の発展とともに工業製品としての「織物, 布」を意味するようになった。
&lt;div class="sample_image fabric"&gt;&lt;/div&gt;&lt;/span&gt;</t>
    <rPh sb="92" eb="94">
      <t>ユライ</t>
    </rPh>
    <phoneticPr fontId="1"/>
  </si>
  <si>
    <t>&lt;span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t>
  </si>
  <si>
    <t>&lt;span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t>
  </si>
  <si>
    <t>congratulate / congratulationと関連させて覚える。</t>
  </si>
  <si>
    <t>&lt;span class="w"&gt;&lt;b&gt;【1079.grateful：感謝している】&lt;/b&gt;&lt;/span&gt;
&lt;span class="ml"&gt;ラテン語に由来する語で、以下の2つの要素から成る。
&lt;span class="spacer"&gt;&lt;/span&gt;grate（好ましい, 喜ばしい, 感謝される）
&lt;span class="obsolete"&gt;ful（満ちた）は英語段階で付いた&lt;/span&gt;
&lt;span class="spacer"&gt;&lt;/span&gt;この語の核は「喜ばしいことで満ちている」。ありがたい出来事を受け取って喜びに満ちることから、感謝の気持ちが生まれ、何かに対して「感謝している」という意味になる。
&lt;span class="spacer"&gt;&lt;/span&gt;congratulate, congratulationにもgrateが含まれる。喜ばしいことから祝うという意味になる。&lt;/span&gt;</t>
  </si>
  <si>
    <t>&lt;span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t>
    <phoneticPr fontId="1"/>
  </si>
  <si>
    <t>labor（労働）と関連させて覚える。</t>
    <phoneticPr fontId="1"/>
  </si>
  <si>
    <t>&lt;span class="w"&gt;&lt;b&gt;【1081.elaborate：入念な, 凝った, 手の込んだ】&lt;/b&gt;&lt;/span&gt;
&lt;span class="ml"&gt;ラテン語に由来する語で、以下の2つの要素から成る。
&lt;span class="spacer"&gt;&lt;/span&gt;ex（外に）
laborare（働く：laborの語源）
&lt;span class="spacer"&gt;&lt;/span&gt;elaborateのlabor部分は、labor（労働）と同じ。この語の核は「労力をかけて何かを作り出す」。多大な労力や注意をそそいで作り出されたものなので「入念な, 手の込んだ, 凝った」という意味になる。
&lt;div class="sample_image elaborate"&gt;&lt;/div&gt;&lt;/span&gt;</t>
    <phoneticPr fontId="1"/>
  </si>
  <si>
    <t>mod（尺度）系はまとめて覚える。</t>
  </si>
  <si>
    <t>&lt;span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t>
  </si>
  <si>
    <t>&lt;span class="w"&gt;&lt;b&gt;【1083.dynamic：動的な, 精力的な, 活動的な】&lt;/b&gt;&lt;/span&gt;
&lt;span class="ml"&gt;ギリシャ語に由来する語で、以下の2つの要素から成る。
&lt;span class="spacer"&gt;&lt;/span&gt;dynamis（力）
ikos（形容詞化）
&lt;span class="spacer"&gt;&lt;/span&gt;この語の核は「物理的な力がある」。もともとは物理学や力学において、力や運動に関する事柄を指していた。そこから意味が一般化し、静止することなく常に変化し続ける「動的な」という意味や、エネルギーに満ちあふれて「精力的な, 活動的な」という意味になった。&lt;/span&gt;</t>
  </si>
  <si>
    <t>&lt;span class="w"&gt;&lt;b&gt;【1084.brave：勇敢な, 見事な】&lt;/b&gt;&lt;/span&gt;
&lt;span class="ml"&gt;イタリア語bravo（野蛮な, 荒々しい, 大胆な, 勇敢な）に由来する。
&lt;span class="spacer"&gt;&lt;/span&gt;もともとは野蛮で荒々しい様子を表した。そうした人たちは物怖じせず立ち向かうことから、恐れ知らずで大胆である、そしてその姿勢が立派であるという評価へ発展し、その結果「勇敢な」や「見事な」という意味になった。
&lt;span class="spacer"&gt;&lt;/span&gt;もとになったイタリア語は「素晴らしい, 見事だ」という感嘆を表す「ブラボー」の語源でもある。ある人の姿勢が勇敢でブラボー（見事）というイメージで覚えればよい。&lt;/span&gt;</t>
  </si>
  <si>
    <t>&lt;span class="w"&gt;&lt;b&gt;【1085.brilliant：すばらしい, 才能にあふれた, きらめく, 輝いている】&lt;/b&gt;&lt;/span&gt;
&lt;span class="ml"&gt;ギリシャ語bēryllos（ベリル, 緑柱石, 宝石）に由来する。
&lt;span class="spacer"&gt;&lt;/span&gt;ベリルは、エメラルド・アクアマリン・レッドベリルなどの宝石の総称。宝石は普通の石とは異なり、キラキラ輝くことから「きらめく, 輝いている」という意味になった。また、そこから比喩的に「才能にあふれる」や「すばらしい」という意味にもなった。
&lt;div class="sample_image brilliant"&gt;&lt;/div&gt;&lt;/span&gt;</t>
  </si>
  <si>
    <t>bēryllos（ベリル, 緑柱石, 宝石）
&lt;span class="spacer"&gt;&lt;/span&gt;ベリルは、エメラルド・アクアマリン・レッドベリルなどの宝石の総称。色の違いで異なる宝石名をもつ</t>
  </si>
  <si>
    <t>tremble（震える, 身震いする）と関連させて覚える。tremendousは「震えるくらいとてつもない」というイメージ。</t>
  </si>
  <si>
    <t>&lt;span class="w"&gt;&lt;b&gt;【1086.tremendous：途方もない, 莫大な, ものすごい】&lt;/b&gt;&lt;/span&gt;
&lt;span class="ml"&gt;ラテン語に由来する語で、以下の2つの要素から成る。
&lt;span class="spacer"&gt;&lt;/span&gt;tremere（震える）
endus（形容詞化：〜すべき）
&lt;span class="spacer"&gt;&lt;/span&gt;このまま日本語にすると「震え上がるべき」となる。もともとは、恐怖で体が震えるほど恐ろしいというニュアンスを持っていた。そこから、人が畏敬の念を抱くほどの圧倒的なスケールや、すさまじい力や量を指すようになる。
&lt;span class="spacer"&gt;&lt;/span&gt;時代が下るにつれて、本来の恐怖ニュアンスは薄れ、「途方もない, 巨大な」、あるいはポジティブな意味合いで「ものすごい」といった意味になった。&lt;/span&gt;</t>
  </si>
  <si>
    <t>&lt;span class="w"&gt;&lt;b&gt;【1087.oral：口の, 口頭の】&lt;/b&gt;&lt;/span&gt;
&lt;span class="ml"&gt;ラテン語に由来する語で、以下の2つの要素から成る。
&lt;span class="spacer"&gt;&lt;/span&gt;oris（口）
alis（形容詞化）
&lt;span class="spacer"&gt;&lt;/span&gt;このまま日本語にすると、器官としての「口の」という意味になる。またwritten（書かれた）に対して、口で言葉を発することを表して「口頭の」という意味にもなる。&lt;/span&gt;</t>
  </si>
  <si>
    <t>&lt;span class="w"&gt;&lt;b&gt;【1088.innocent：無罪の, 無邪気な】&lt;/b&gt;&lt;/span&gt;
&lt;span class="ml"&gt;ラテン語に由来する語で、以下の2つの要素から成る。
&lt;span class="spacer"&gt;&lt;/span&gt;in（否定）
nocere（害する）
&lt;span class="spacer"&gt;&lt;/span&gt;この語の核は「害のない」。他者に対して害を与えることがないことから、法や道徳に反して他者を害することをしていなくて「無罪の」、心の中に他者を害するような悪意がなくて「 無邪気な」といった意味になる。&lt;/span&gt;</t>
  </si>
  <si>
    <t>&lt;span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t>
  </si>
  <si>
    <t>sub（下に, 後に）＋sequi（従う）
subsequi（時間的に後に来る）
&lt;span class="spacer"&gt;&lt;/span&gt;現在分詞subsequens</t>
  </si>
  <si>
    <t>&lt;span class="w"&gt;&lt;b&gt;【1090.shallow：浅い】&lt;/b&gt;&lt;/span&gt;
&lt;span class="ml"&gt;中英語schalowe / shaloue（水や川などが浅い, 体が痩せた）にさかのぼる。
&lt;span class="spacer"&gt;&lt;/span&gt;もともとは水や川などが浅いことを表した。そこから水の浅さだけではなく容器の浅さや思考、感情など、さまざまな物事に関して「浅い」という意味になった。&lt;/span&gt;</t>
  </si>
  <si>
    <t>&lt;span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t>
  </si>
  <si>
    <t>superioの反対。
inferior / superiorは、infra（下, インフラ）とsuper（上, 超えて, スーパー）の対比。</t>
  </si>
  <si>
    <t>wardは、forwardと同じく方向を示す。forwardは、for（前）＋ward（方向）から成る。</t>
  </si>
  <si>
    <t>&lt;span class="w"&gt;&lt;b&gt;【1093.awkward：気まずい, ぎこちない】&lt;/b&gt;&lt;/span&gt;
&lt;span class="ml"&gt;中英語にさかのぼり、以下の2つの要素から成る。
&lt;span class="spacer"&gt;&lt;/span&gt;awk（逆向きの, 間違った）
weard（副詞化）
&lt;span class="spacer"&gt;&lt;/span&gt;この語の核は「正しい向きから外れていて不安定な感じ」。動作などが不安定なら「ぎこちない」、心理や状況が不安定なら「気まずい」という意味になる。&lt;/span&gt;</t>
  </si>
  <si>
    <t>obeseのes部分は、eatと同じ語源に遡る。
名詞obesity（肥満）もセットで覚えておく。</t>
  </si>
  <si>
    <t>&lt;span class="w"&gt;&lt;b&gt;【1094.obese：肥満の】&lt;/b&gt;&lt;/span&gt;
&lt;span class="ml"&gt;ラテン語に由来する語で、以下の2つの要素から成る。
&lt;span class="spacer"&gt;&lt;/span&gt;ob（周囲に）
edere（食べる）
&lt;span class="spacer"&gt;&lt;/span&gt;周囲のものを食べ尽くす
→食べて太る
→「肥満の」となる。&lt;/span&gt;</t>
  </si>
  <si>
    <t>&lt;span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t>
  </si>
  <si>
    <t>in（中に）
&lt;span class="spacer"&gt;&lt;/span&gt;最上級を作る-imusが付いて
intimus（最も内側の, 最も不快）</t>
  </si>
  <si>
    <t>&lt;span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t>
  </si>
  <si>
    <t>sacrificeと関連させて覚える。</t>
  </si>
  <si>
    <t>&lt;span class="w"&gt;&lt;b&gt;【1098.sacred：神聖な】&lt;/b&gt;&lt;/span&gt;
&lt;span class="ml"&gt;ラテン語sacer（神聖な）
&lt;span class="spacer"&gt;&lt;/span&gt;この語の核「人や物が俗世から離れ、神と結びつく」。宗教的な儀式を通して神に属する物となることから、「神聖な」という意味になる。日本で言えば、神様へのお供え物は神聖だというイメージ。
&lt;span class="spacer"&gt;&lt;/span&gt;またそこから宗教的なニュアンスが薄れて、他者が無闇に触れてはならないほど「非常に重要な, 大切な」という意味でも使われる。&lt;/span&gt;</t>
  </si>
  <si>
    <t>&lt;span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t>
  </si>
  <si>
    <t>&lt;span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t>
  </si>
  <si>
    <t>process（過程, 経過）やprocedure（手続き）と関連させて覚える。</t>
  </si>
  <si>
    <t>&lt;span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t>
  </si>
  <si>
    <t>日本語でも使われるオリエンテーション（新しい環境や状況に慣れることができるように方向性を示すもの）や、the Orient（東洋）と関連させて覚える。</t>
  </si>
  <si>
    <t>&lt;span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t>
  </si>
  <si>
    <t>&lt;span class="w"&gt;&lt;b&gt;【1103.surf：インターネットの情報を見て回る, サーフィンする】&lt;/b&gt;&lt;/span&gt;
&lt;span class="ml"&gt;近代英語にさかのぼる語。もともとは、海岸に打ち寄せる波を意味する名詞だったが、そこから発展して「波に乗る」という動詞になった。
&lt;span class="spacer"&gt;&lt;/span&gt;さらにインターネットの登場により、インターネットを海にたとえ、「ネットサーフィンする（インターネットの情報を見て回る）」という意味で使われるようになった。&lt;/span&gt;</t>
  </si>
  <si>
    <t>&lt;span class="w"&gt;&lt;b&gt;【1104.filter：〜をろ過する, 〜を取り除く】&lt;/b&gt;&lt;/span&gt;
&lt;span class="ml"&gt;ラテン語filtrum（液体から不純物を取り除くために使われたフェルト）に由来する。
&lt;span class="spacer"&gt;&lt;/span&gt;昔は、羊毛などを圧縮して固めた分厚い布（フェルト）を網のように使ってワインや水から不純物を取り除いた。そこから何かを「ろ過する, 取り除く」という意味になった。&lt;/span&gt;</t>
  </si>
  <si>
    <t>&lt;span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t>
  </si>
  <si>
    <t>&lt;span class="w"&gt;&lt;b&gt;【1106.resort：（手段に）頼る】&lt;/b&gt;&lt;/span&gt;
&lt;span class="ml"&gt;フランス語に由来する語で、以下の2つの要素から成る。
&lt;span class="spacer"&gt;&lt;/span&gt;re（再び）
sortir（外出する）
&lt;span class="spacer"&gt;&lt;/span&gt;このまま日本語にすると「再び外出する」となる。もともとは、特定の場所へ繰り返し行くことを表した。その中でも特に、困ったときに頼りになる場所へ何度も足を運んで助けを求めるという意味で使われたことから、他の方法がなくて何らかの「手段に訴える」という意味になった。
&lt;div class="sample_image resort"&gt;&lt;/div&gt;
&lt;span class="spacer"&gt;&lt;/span&gt;日本語でも使われるリゾート（行楽地）は、安心や安定のために繰り返し行く場所＝心理的な頼りからきた意味。&lt;/span&gt;</t>
  </si>
  <si>
    <t>&lt;span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t>
  </si>
  <si>
    <t>&lt;span class="w"&gt;&lt;b&gt;【1108.accumulate：〜を蓄積する, 集める】&lt;/b&gt;&lt;/span&gt;
&lt;span class="ml"&gt;ラテン語に由来する語で、以下の2つの要素から成る。
&lt;span class="spacer"&gt;&lt;/span&gt;ad（強意）
cumulus（山, 積み重ね）
&lt;span class="spacer"&gt;&lt;/span&gt;この語の核は「山のように積み重ねる」。そこから何かを「蓄積する, 集める」となる。
&lt;span class="spacer"&gt;&lt;/span&gt;夏の入道雲のような積雲を英語ではcumulusと呼ぶ。これもラテン語cumulus（山, 積み重ね）に由来する。&lt;/span&gt;</t>
  </si>
  <si>
    <t>&lt;span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t>
  </si>
  <si>
    <t>advocateのvoc部分はvocalやvocabularyと同じで「声, 叫ぶ」に関わる。</t>
  </si>
  <si>
    <t>&lt;span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t>
  </si>
  <si>
    <t>&lt;span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t>
  </si>
  <si>
    <t>&lt;span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t>
  </si>
  <si>
    <t>under（下から）＋taken（取る）
&lt;span class="spacer"&gt;&lt;/span&gt;12世紀後期
罠にかける, 不意をつく
&lt;span class="spacer"&gt;&lt;/span&gt;1300年頃
〜することを試みる
&lt;span class="spacer"&gt;&lt;/span&gt;14世紀初頭
事業を引き受ける, 何かを始める
戦闘を引き受ける</t>
  </si>
  <si>
    <t>&lt;span class="w"&gt;&lt;b&gt;【1113.grip：〜を握る】&lt;/b&gt;&lt;/span&gt;
&lt;span class="ml"&gt;古英語grippan（つかむ, 握る）にさかのぼる。
&lt;span class="spacer"&gt;&lt;/span&gt;古英語から意味の変化はない。&lt;/span&gt;</t>
  </si>
  <si>
    <t>&lt;span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t>
  </si>
  <si>
    <t>&lt;span class="w"&gt;&lt;b&gt;【1115.fade：薄れる, 衰える】&lt;/b&gt;&lt;/span&gt;
&lt;span class="ml"&gt;ラテン語に由来する語で、以下の2つの語が混ざり合ってできた。
&lt;span class="spacer"&gt;&lt;/span&gt;fatuus（味のない）
vapidus（気の抜けた, 風味のない）
&lt;span class="spacer"&gt;&lt;/span&gt;この語の核は「本来持っていた味が薄れていく」。この味覚の薄れから様々な要素に広がり、光・音・力・感情・記憶などが「薄れる, 衰える」という意味になった。&lt;/span&gt;</t>
  </si>
  <si>
    <t>fatuus（味のない）＋vapidus（気の抜けた, 風味のない）</t>
  </si>
  <si>
    <t>&lt;span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t>
  </si>
  <si>
    <t>&lt;span class="w"&gt;&lt;b&gt;【1117.chew：噛む】&lt;/b&gt;&lt;/span&gt;
&lt;span class="ml"&gt;古英語ceowan（噛む）にさかのぼる。
&lt;span class="spacer"&gt;&lt;/span&gt;古英語から意味の変化はほとんどない。&lt;/span&gt;</t>
  </si>
  <si>
    <t>&lt;span class="w"&gt;&lt;b&gt;【1118.swallow：飲み込む, 〜をうのみにする】&lt;/b&gt;&lt;/span&gt;
&lt;span class="ml"&gt;古英語swelgan（飲み込む）にさかのぼる。
&lt;span class="spacer"&gt;&lt;/span&gt;物理的に「飲み込む」だけではなく、比喩的に疑うことなく受け入れる＝「うのみにする」という意味にもなる。&lt;/span&gt;</t>
  </si>
  <si>
    <t>&lt;span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t>
  </si>
  <si>
    <t>&lt;span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t>
  </si>
  <si>
    <t>&lt;span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t>
    <phoneticPr fontId="1"/>
  </si>
  <si>
    <t>vanishのvan部分は「空っぽ, 何もない」というイメージ。</t>
    <rPh sb="10" eb="12">
      <t>ブブン</t>
    </rPh>
    <rPh sb="14" eb="15">
      <t>カラ</t>
    </rPh>
    <rPh sb="19" eb="20">
      <t>ナニ</t>
    </rPh>
    <phoneticPr fontId="1"/>
  </si>
  <si>
    <t>&lt;span class="w"&gt;&lt;b&gt;【1123.vanish：消える】&lt;/b&gt;&lt;/span&gt;
&lt;span class="ml"&gt;ラテン語に由来する語で、以下の3つの要素から成る。
&lt;span class="spacer"&gt;&lt;/span&gt;ex（外へ）
vanus（空っぽの）
escere（〜になる）
&lt;span class="spacer"&gt;&lt;/span&gt;このまま日本語にすると「外へずれてその場所が空っぽになる」となる。ある空間が空っぽになるということは、そこにあったものがなくなるということ。そこから「消える」という意味になる。
&lt;div class="sample_image vanish"&gt;&lt;/div&gt;
&lt;span class="spacer"&gt;&lt;/span&gt;もともと存在したex（外に）は英語に入るまでに消えてしまっている。&lt;/span&gt;</t>
    <phoneticPr fontId="1"/>
  </si>
  <si>
    <t>&lt;span class="w"&gt;&lt;b&gt;【1124.polish：〜を磨く, 〜を洗練させる】&lt;/b&gt;&lt;/span&gt;
&lt;span class="ml"&gt;ラテン語polire（磨く, なめらかにする）に由来する。
&lt;span class="spacer"&gt;&lt;/span&gt;表面を磨いてなめらかにすることから「磨く」や、性格や言動などを磨く＝「洗練させる」という意味になった。
&lt;span class="spacer"&gt;&lt;/span&gt;polite（礼儀正しい）も、言動が磨き上げられているというイメージ。&lt;/span&gt;</t>
  </si>
  <si>
    <t>&lt;span class="w"&gt;&lt;b&gt;【1125.wipe：〜を拭く, 〜を拭き取る, 〜を消し去る】&lt;/b&gt;&lt;/span&gt;
&lt;span class="ml"&gt;古英語wipian（拭く）にさかのぼる。
&lt;span class="spacer"&gt;&lt;/span&gt;「拭く, 拭き取る」という物理的な動作だけではなく、拭き取るように何かを「消し去る」という意味にもなる。&lt;/span&gt;</t>
  </si>
  <si>
    <t>スマホ画面のスワイプ（swipe, 掃くような動作）と関連させて覚える。もともとswipeはsweepの方言の可能性がある。</t>
  </si>
  <si>
    <t>&lt;span class="w"&gt;&lt;b&gt;【1126.sweep：掃く, 〜を一掃する】&lt;/b&gt;&lt;/span&gt;
&lt;span class="ml"&gt;古英語swapan（掃く）にさかのぼる。
&lt;span class="spacer"&gt;&lt;/span&gt;「掃く」という物理的な動作だけではなく、掃いて集めるように「一掃する」という意味にもなる。&lt;/span&gt;</t>
  </si>
  <si>
    <t>&lt;span class="w"&gt;&lt;b&gt;【1127.mislead：〜を誤解させる, 〜を欺く, 人を間違った方向に導く】&lt;/b&gt;&lt;/span&gt;
&lt;span class="ml"&gt;古英語に由来する語で、以下の2つの要素から成る。
&lt;span class="spacer"&gt;&lt;/span&gt;mis（誤って）
lædan（導く：leadの語源）
&lt;span class="spacer"&gt;&lt;/span&gt;このまま日本語にすると「誤って導く」となる。そこから「誤った方向に導く, 誤解させる, 欺く」という意味になる。&lt;/span&gt;</t>
  </si>
  <si>
    <t>&lt;span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t>
    <phoneticPr fontId="1"/>
  </si>
  <si>
    <t>&lt;span class="w"&gt;&lt;b&gt;【1130.explode：爆発する, 〜を論破する】&lt;/b&gt;&lt;/span&gt;
&lt;span class="ml"&gt;ラテン語に由来する語で、以下の2つの要素から成る。
&lt;span class="spacer"&gt;&lt;/span&gt;ex（外に）
plaudere（手を叩く, 拍手する）
&lt;span class="spacer"&gt;&lt;/span&gt;古代ローマの劇場では、演技のひどい役者に対して、観客が一斉に手を叩き鳴らし、ブーイングの代わりにその大きな音で役者を舞台から外へ（ex）追い出すという習慣があった。
&lt;span class="spacer"&gt;&lt;/span&gt;この手を叩いて追い出すという行為が、やがて大きな音を立てて内側から勢いよく破裂する、そして「爆発する」という意味へと発展した。
&lt;span class="spacer"&gt;&lt;/span&gt;もともとの追い払うという意味は、相手の理論や言葉を追い払う＝「論破する」という意味に残っている。
&lt;div class="sample_image explode"&gt;&lt;/div&gt;&lt;/span&gt;</t>
    <phoneticPr fontId="1"/>
  </si>
  <si>
    <t>&lt;span class="w"&gt;&lt;b&gt;【1131.disgust：〜をむかつかせる, 〜をうんざりさせる】&lt;/b&gt;&lt;/span&gt;
&lt;span class="ml"&gt;ラテン語に由来する語で、以下の2つの要素から成る。
&lt;span class="spacer"&gt;&lt;/span&gt;gustare（味わう）
&lt;span class="obsolete"&gt;des（否定）はフランス語段階で付いた&lt;/span&gt;
&lt;span class="spacer"&gt;&lt;/span&gt;このまま日本語にすると、味わうの否定なので「不快な味を感じる」となる。不味い、嫌な味がするという味覚的な不快感から発展し、食べ物に対してだけでなく、人や出来事に対して「吐き気がするほど嫌だ」という強い精神的な嫌悪感や反感へと広がっていった。そして「むかつかせる, うんざりさせる」という意味になった。
&lt;div class="sample_image disgust"&gt;&lt;/div&gt;&lt;/span&gt;</t>
    <phoneticPr fontId="1"/>
  </si>
  <si>
    <t>&lt;span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t>
    <phoneticPr fontId="1"/>
  </si>
  <si>
    <t>1630年代
別のものに置き換える
&lt;span class="spacer"&gt;&lt;/span&gt;1640年代
負担を別のものに変える
&lt;span class="spacer"&gt;&lt;/span&gt;1795年
都度の支払いを一括に変更する
&lt;span class="spacer"&gt;&lt;/span&gt;1822年
commutation ticket（一括で支払う代わりに割安になる定期券）
commuter（通勤者）
&lt;span class="spacer"&gt;&lt;/span&gt;1889年までに
仕事のために行き来する, 通勤する</t>
  </si>
  <si>
    <t>&lt;span class="w"&gt;&lt;b&gt;【1133.decorate：〜を装飾する】&lt;/b&gt;&lt;/span&gt;
&lt;span class="ml"&gt;ラテン語decus（装飾）に由来する。
&lt;span class="spacer"&gt;&lt;/span&gt;ラテン語から意味の変化はなく「装飾する」という意味になった。&lt;/span&gt;</t>
  </si>
  <si>
    <t>日本語でも使われるポスト〜（〜以後）と関連させて覚える。</t>
  </si>
  <si>
    <t>&lt;span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t>
  </si>
  <si>
    <t>&lt;span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t>
  </si>
  <si>
    <t>promise（約束する）と関連させて覚える。</t>
  </si>
  <si>
    <t>&lt;span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t>
  </si>
  <si>
    <t>&lt;span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t>
  </si>
  <si>
    <t>日本語でも使われるエキス（抽出されたもの）と関連させて覚える。</t>
  </si>
  <si>
    <t>&lt;span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t>
  </si>
  <si>
    <t>世界遺産（World Heritage）のheritageと関連させて覚える。inheritとheritageのherit部分は「相続する」。</t>
  </si>
  <si>
    <t>&lt;span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t>
  </si>
  <si>
    <t>&lt;span class="w"&gt;&lt;b&gt;【1140.rear：人・動物・植物を育てる】&lt;/b&gt;&lt;/span&gt;
&lt;span class="ml"&gt;古英語ræran（何かを上げる, 持ち上げる, 上昇させる）にさかのぼる。
&lt;span class="spacer"&gt;&lt;/span&gt;古英語では下から上への移動や上昇を表したこの語は、比喩的に、何かを「育てる」という意味になった。
&lt;span class="spacer"&gt;&lt;/span&gt;古英語よりさらにさかのぼると、rearはriseと同じ語に行き着く。つまりrear（育てる）とrise（上がる）は、どちらも「上昇」という共通のイメージを持っている。&lt;/span&gt;</t>
  </si>
  <si>
    <t>&lt;span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t>
    <phoneticPr fontId="1"/>
  </si>
  <si>
    <t>telepathy
tele（遠く）＋pathy（感情）
テレパシー, 離れたところから感情や思考を受け取ること
&lt;span class="spacer"&gt;&lt;/span&gt;sympathy
sym（同じ）＋pathy（感情）
同情</t>
  </si>
  <si>
    <t>&lt;span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t>
  </si>
  <si>
    <t>1858年
Einfühlung
ein（中に）＋Fühlung（感情）</t>
  </si>
  <si>
    <t>1908年
ギリシャ語empatheiaをもとに造られたempathy
芸術鑑賞において、鑑賞者が自己の感情や人格を鑑賞対象に投影すること</t>
  </si>
  <si>
    <t>日本語でも使われる「3・2・1・キュー」という開始の合図。</t>
  </si>
  <si>
    <t>&lt;span class="w"&gt;&lt;b&gt;【1142.cue：合図, 手がかり, 舞台での次の演技の合図】&lt;/b&gt;&lt;/span&gt;
&lt;span class="ml"&gt;語源不明。一説によると、ラテン語のquando（いつ）の頭文字Qとされ、16〜17世紀の舞台演劇において俳優の登場合図として使われた。「演劇での合図」から他の分野でも「合図, 手がかり」として使われるようになった。&lt;/span&gt;</t>
  </si>
  <si>
    <t>&lt;span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t>
  </si>
  <si>
    <t>&lt;span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t>
    <phoneticPr fontId="1"/>
  </si>
  <si>
    <t>progress（進歩, 前身）
pro（前に）＋guess（歩く）
&lt;span class="spacer"&gt;&lt;/span&gt;aggressive（攻撃的な）
ad（〜へ）＋gress（歩く）
相手に対して近づく（威圧や攻撃）</t>
  </si>
  <si>
    <t>&lt;span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t>
    <phoneticPr fontId="1"/>
  </si>
  <si>
    <t>&lt;span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t>
  </si>
  <si>
    <t>manは「男」という意味で覚えるが、もともとは性別に関わらず人間を意味する語だった。</t>
  </si>
  <si>
    <t>&lt;span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t>
    <phoneticPr fontId="1"/>
  </si>
  <si>
    <t>&lt;span class="w"&gt;&lt;b&gt;【1148.Muslim：イスラム教徒】&lt;/b&gt;&lt;/span&gt;
&lt;span class="ml"&gt;アラビア語muslim（信仰に従う者）に由来する。
&lt;span class="spacer"&gt;&lt;/span&gt;（イスラム教の）信仰に従う者を指し、「イスラム教徒」という意味になった。&lt;/span&gt;</t>
    <phoneticPr fontId="1"/>
  </si>
  <si>
    <t>st(a)を見たら、まず印欧祖語*sta-（立つ）を考える。</t>
  </si>
  <si>
    <t>&lt;span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t>
  </si>
  <si>
    <t>mineはゲームのマインクラフトのmine（鉱山, 掘る）と同じ。地面を掘って爆発物を設置したことから、mine＝爆発物という意味を持つようになった。</t>
  </si>
  <si>
    <t>&lt;span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t>
  </si>
  <si>
    <t>1620年代
敵の要塞の下にトンネルを掘って、下で爆弾を爆発させて城壁を崩すという戦術から、爆発物を設置するという動詞になる
&lt;span class="spacer"&gt;&lt;/span&gt;1866年までに
爆発物
&lt;span class="spacer"&gt;&lt;/span&gt;1890年までに
地雷</t>
  </si>
  <si>
    <t>caut</t>
  </si>
  <si>
    <t>&lt;span class="w"&gt;&lt;b&gt;【1151.caution：用心, 警告】&lt;/b&gt;&lt;/span&gt;
&lt;span class="ml"&gt;ラテン語に由来する語で、以下の2つの要素から成る。
&lt;span class="spacer"&gt;&lt;/span&gt;cavere（警戒する）
io（名詞化）
&lt;span class="spacer"&gt;&lt;/span&gt;このまま日本語にすると「警戒すること」となる。もともとは法的な文脈で使われる言葉だったが、そこから一般的に危険に対する「警告, 用心」という意味になった。&lt;/span&gt;</t>
  </si>
  <si>
    <t>cavere（警戒する）
&lt;span class="spacer"&gt;&lt;/span&gt;名詞を作るioが付いて
cautio（用心, 注意）</t>
  </si>
  <si>
    <t>&lt;span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t>
    <phoneticPr fontId="1"/>
  </si>
  <si>
    <t>&lt;span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t>
    <phoneticPr fontId="1"/>
  </si>
  <si>
    <t>detail（詳細）
de（完全に）＋tail（切る）
物事を完全に細かく切る＝詳細</t>
  </si>
  <si>
    <t>&lt;span class="w"&gt;&lt;b&gt;【1154.retail：小売り】&lt;/b&gt;&lt;/span&gt;
&lt;span class="ml"&gt;古フランス語に由来する語で、以下の2つの要素から成る。
&lt;span class="spacer"&gt;&lt;/span&gt;re（再び）
taillier（切る, 整える）
&lt;span class="spacer"&gt;&lt;/span&gt;このまま日本語にすると「再び切る」となる。大きなものを繰り返し切って細かくすることから、まとまった商品を切り分けて売る「小売り」という意味になった。
&lt;div class="sample_image retail"&gt;&lt;/div&gt;&lt;/span&gt;</t>
    <phoneticPr fontId="1"/>
  </si>
  <si>
    <t>re（再び）＋taillier（切る, 整える）
retaillier（切り戻す, 切り落とす）
&lt;span class="spacer"&gt;&lt;/span&gt;名詞になって
retail（切り取られた破片, 断片）</t>
  </si>
  <si>
    <t>&lt;span class="w"&gt;&lt;b&gt;【1155.fiber：繊維】&lt;/b&gt;&lt;/span&gt;
&lt;span class="ml"&gt;ラテン語fibra（繊維, 細糸, 内臓）に由来する。
&lt;span class="spacer"&gt;&lt;/span&gt;もともとは人体や動植物の体を構成する糸状の組織（例：筋繊維, 神経）を表した。そこから、絹や綿、麻など布を織るための繊維や食物繊維、光ファイバー、カーボンファイバーなど様々な「繊維」という意味になった。&lt;/span&gt;
&lt;div class="animation fiber"&gt;&lt;/div&gt;</t>
  </si>
  <si>
    <t>&lt;span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t>
    <rPh sb="250" eb="252">
      <t>ホンライ</t>
    </rPh>
    <rPh sb="254" eb="256">
      <t>ソンザイ</t>
    </rPh>
    <rPh sb="265" eb="266">
      <t>ノチ</t>
    </rPh>
    <rPh sb="278" eb="279">
      <t>ホカ</t>
    </rPh>
    <rPh sb="289" eb="291">
      <t>エイキョウ</t>
    </rPh>
    <rPh sb="296" eb="298">
      <t>ソウニュウ</t>
    </rPh>
    <rPh sb="306" eb="308">
      <t>ホントウ</t>
    </rPh>
    <rPh sb="315" eb="317">
      <t>カンカク</t>
    </rPh>
    <rPh sb="319" eb="320">
      <t>ニ</t>
    </rPh>
    <phoneticPr fontId="1"/>
  </si>
  <si>
    <t>17世紀
もともとなかったスペル-c-が挿入された
science, ascentなどからの類推</t>
  </si>
  <si>
    <t>&lt;span class="w"&gt;&lt;b&gt;【1157.beverage：（水以外の）飲み物, 飲料】&lt;/b&gt;&lt;/span&gt;
&lt;span class="ml"&gt;古フランス語に由来する語で、以下の2つの要素から成る。
&lt;span class="spacer"&gt;&lt;/span&gt;boivre（飲む）
age（名詞化）
&lt;span class="spacer"&gt;&lt;/span&gt;このまま日本語にすると「飲むもの」となる。もともとは水や酒などのあらゆる飲み物を指した。しかしそこから、日常語のdrinkに対して格式ばったニュアンスのbeverageは、水以外の何らかの手が加わった「飲み物, 飲料」という意味になった。&lt;/span&gt;</t>
  </si>
  <si>
    <t>&lt;span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t>
  </si>
  <si>
    <t>tes</t>
  </si>
  <si>
    <t>&lt;span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t>
  </si>
  <si>
    <t>&lt;span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t>
    <phoneticPr fontId="1"/>
  </si>
  <si>
    <t>1620年代
特定のビジネスや専門分野</t>
  </si>
  <si>
    <t>オーストラリアの世界遺産のGreat Barrier Reef（グレートバリアリーフ）と関連させて覚える。&lt;div class="sample_image reef"&gt;&lt;/div&gt;</t>
    <phoneticPr fontId="1"/>
  </si>
  <si>
    <t>&lt;span class="w"&gt;&lt;b&gt;【1161.reef：礁】&lt;/b&gt;&lt;/span&gt;
&lt;span class="ml"&gt;古ノルド語rif（あばら骨, 海中の尾根）に由来する。
&lt;span class="spacer"&gt;&lt;/span&gt;海底のあばら骨のように盛り上がった岩の背、つまり「礁」という意味になる。&lt;/span&gt;</t>
    <rPh sb="83" eb="85">
      <t>ユライ</t>
    </rPh>
    <rPh sb="147" eb="149">
      <t>イミ</t>
    </rPh>
    <phoneticPr fontId="1"/>
  </si>
  <si>
    <t>rif（あばら骨, 海中の尾根）</t>
    <phoneticPr fontId="1"/>
  </si>
  <si>
    <t>&lt;span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t>
    <rPh sb="79" eb="80">
      <t>ツク</t>
    </rPh>
    <rPh sb="181" eb="184">
      <t>ニホンゴ</t>
    </rPh>
    <rPh sb="211" eb="213">
      <t>イミ</t>
    </rPh>
    <rPh sb="223" eb="226">
      <t>ニホンゴ</t>
    </rPh>
    <rPh sb="228" eb="229">
      <t>ツカ</t>
    </rPh>
    <rPh sb="245" eb="247">
      <t>ブブン</t>
    </rPh>
    <rPh sb="256" eb="258">
      <t>セイブツ</t>
    </rPh>
    <rPh sb="258" eb="259">
      <t>ガク</t>
    </rPh>
    <phoneticPr fontId="1"/>
  </si>
  <si>
    <t>1878年
セディヨによってギリシャ語をもとに造語された
microbe（極微小な生物）</t>
    <phoneticPr fontId="1"/>
  </si>
  <si>
    <t>exceed（超過する）の名詞として覚える。</t>
    <rPh sb="7" eb="9">
      <t>チョウカ</t>
    </rPh>
    <rPh sb="13" eb="15">
      <t>メイシ</t>
    </rPh>
    <rPh sb="18" eb="19">
      <t>オボ</t>
    </rPh>
    <phoneticPr fontId="1"/>
  </si>
  <si>
    <t>&lt;span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t>
    <rPh sb="143" eb="146">
      <t>メイシカ</t>
    </rPh>
    <rPh sb="180" eb="183">
      <t>ニホンゴ</t>
    </rPh>
    <rPh sb="205" eb="208">
      <t>ブツリテキ</t>
    </rPh>
    <rPh sb="209" eb="210">
      <t>ナニ</t>
    </rPh>
    <rPh sb="212" eb="214">
      <t>ハンイ</t>
    </rPh>
    <rPh sb="215" eb="217">
      <t>リョウイキ</t>
    </rPh>
    <rPh sb="218" eb="220">
      <t>キョウカイ</t>
    </rPh>
    <rPh sb="222" eb="223">
      <t>ソト</t>
    </rPh>
    <rPh sb="224" eb="225">
      <t>デ</t>
    </rPh>
    <rPh sb="229" eb="230">
      <t>アラワ</t>
    </rPh>
    <rPh sb="237" eb="239">
      <t>イミ</t>
    </rPh>
    <rPh sb="240" eb="243">
      <t>チュウショウカ</t>
    </rPh>
    <rPh sb="245" eb="247">
      <t>キジュン</t>
    </rPh>
    <rPh sb="248" eb="250">
      <t>ドアイ</t>
    </rPh>
    <rPh sb="251" eb="252">
      <t>コ</t>
    </rPh>
    <rPh sb="271" eb="273">
      <t>イミ</t>
    </rPh>
    <phoneticPr fontId="1"/>
  </si>
  <si>
    <t>日本語でも使われるギャラリー（観客）やアートギャラリー（画廊）と関係させて覚える。</t>
    <phoneticPr fontId="1"/>
  </si>
  <si>
    <t>&lt;span class="w"&gt;&lt;b&gt;【1164.gallery：美術館, 画廊, ギャラリー, 観客】&lt;/b&gt;&lt;/span&gt;
&lt;span class="ml"&gt;ラテン語galeria（細長い回廊, 柱廊）に由来する。
&lt;span class="spacer"&gt;&lt;/span&gt;もともとは、屋根付きの細長い歩廊や柱廊を表した。近代になると、王族や貴族が宮廷や邸宅の細長い回廊に美術品を展示し、そこを通る人に見せたことから、回廊そのものではなく美術を展示して鑑賞する場所＝「美術館, 画廊, ギャラリー」という意味になった。
&lt;span class="spacer"&gt;&lt;/span&gt;またそうした展示品のところに人が集まり、並んで鑑賞したことから、劇場などの「観客」という意味になった。
&lt;div class="sample_image gallery"&gt;&lt;/div&gt;&lt;/span&gt;</t>
    <rPh sb="104" eb="106">
      <t>ユライ</t>
    </rPh>
    <rPh sb="144" eb="147">
      <t>ヤネツ</t>
    </rPh>
    <rPh sb="149" eb="151">
      <t>ホソナガ</t>
    </rPh>
    <rPh sb="152" eb="154">
      <t>ホロウ</t>
    </rPh>
    <rPh sb="155" eb="157">
      <t>チュウロウ</t>
    </rPh>
    <rPh sb="158" eb="159">
      <t>アラワ</t>
    </rPh>
    <rPh sb="162" eb="164">
      <t>キンダイ</t>
    </rPh>
    <rPh sb="169" eb="171">
      <t>オウゾク</t>
    </rPh>
    <rPh sb="172" eb="174">
      <t>キゾク</t>
    </rPh>
    <rPh sb="175" eb="177">
      <t>キュウテイ</t>
    </rPh>
    <rPh sb="178" eb="180">
      <t>テイタク</t>
    </rPh>
    <rPh sb="191" eb="193">
      <t>テンジ</t>
    </rPh>
    <rPh sb="210" eb="212">
      <t>カイロウ</t>
    </rPh>
    <rPh sb="220" eb="222">
      <t>ビジュツ</t>
    </rPh>
    <rPh sb="223" eb="225">
      <t>テンジ</t>
    </rPh>
    <rPh sb="227" eb="229">
      <t>カンショウ</t>
    </rPh>
    <rPh sb="231" eb="233">
      <t>バショ</t>
    </rPh>
    <rPh sb="253" eb="255">
      <t>イミ</t>
    </rPh>
    <rPh sb="295" eb="298">
      <t>テンジヒン</t>
    </rPh>
    <rPh sb="303" eb="304">
      <t>ヒト</t>
    </rPh>
    <rPh sb="305" eb="306">
      <t>アツ</t>
    </rPh>
    <rPh sb="309" eb="310">
      <t>ナラ</t>
    </rPh>
    <rPh sb="312" eb="314">
      <t>カンショウ</t>
    </rPh>
    <rPh sb="321" eb="323">
      <t>ゲキジョウ</t>
    </rPh>
    <rPh sb="333" eb="335">
      <t>イミ</t>
    </rPh>
    <phoneticPr fontId="1"/>
  </si>
  <si>
    <t>&lt;span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t>
    <rPh sb="90" eb="92">
      <t>ユライ</t>
    </rPh>
    <rPh sb="126" eb="127">
      <t>ゴ</t>
    </rPh>
    <rPh sb="128" eb="129">
      <t>カク</t>
    </rPh>
    <rPh sb="131" eb="132">
      <t>ヒロ</t>
    </rPh>
    <rPh sb="133" eb="134">
      <t>シ</t>
    </rPh>
    <rPh sb="154" eb="156">
      <t>イミ</t>
    </rPh>
    <rPh sb="168" eb="169">
      <t>シ</t>
    </rPh>
    <rPh sb="175" eb="176">
      <t>ツカ</t>
    </rPh>
    <rPh sb="177" eb="178">
      <t>カタ</t>
    </rPh>
    <rPh sb="184" eb="185">
      <t>カク</t>
    </rPh>
    <rPh sb="189" eb="190">
      <t>ヒロ</t>
    </rPh>
    <rPh sb="191" eb="192">
      <t>シ</t>
    </rPh>
    <rPh sb="203" eb="205">
      <t>イミ</t>
    </rPh>
    <rPh sb="206" eb="207">
      <t>オボ</t>
    </rPh>
    <phoneticPr fontId="1"/>
  </si>
  <si>
    <t>&lt;span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t>
    <rPh sb="169" eb="172">
      <t>ニホンゴ</t>
    </rPh>
    <rPh sb="190" eb="193">
      <t>ケイムショ</t>
    </rPh>
    <rPh sb="193" eb="194">
      <t>ナイ</t>
    </rPh>
    <rPh sb="205" eb="206">
      <t>アラワ</t>
    </rPh>
    <rPh sb="213" eb="214">
      <t>コ</t>
    </rPh>
    <rPh sb="238" eb="240">
      <t>イミ</t>
    </rPh>
    <phoneticPr fontId="1"/>
  </si>
  <si>
    <t>&lt;span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t>
    <rPh sb="149" eb="151">
      <t>ガクイ</t>
    </rPh>
    <rPh sb="151" eb="154">
      <t>シュトクシャ</t>
    </rPh>
    <rPh sb="184" eb="189">
      <t>ダイガクソツギョウセイ</t>
    </rPh>
    <rPh sb="190" eb="192">
      <t>サイショ</t>
    </rPh>
    <rPh sb="193" eb="195">
      <t>ガクイ</t>
    </rPh>
    <rPh sb="196" eb="198">
      <t>ガクシ</t>
    </rPh>
    <rPh sb="198" eb="199">
      <t>ゴウ</t>
    </rPh>
    <rPh sb="201" eb="203">
      <t>シュトク</t>
    </rPh>
    <rPh sb="205" eb="206">
      <t>ヒト</t>
    </rPh>
    <rPh sb="212" eb="213">
      <t>アラワ</t>
    </rPh>
    <rPh sb="232" eb="234">
      <t>イミ</t>
    </rPh>
    <phoneticPr fontId="1"/>
  </si>
  <si>
    <t>&lt;span class="w"&gt;&lt;b&gt;【1168.slavery：奴隷制度】&lt;/b&gt;&lt;/span&gt;
&lt;span class="ml"&gt;近代英語近代英語にさかのぼり、以下の2つの要素から成る。
&lt;span class="spacer"&gt;&lt;/span&gt;slave（奴隷にする）
ery（名詞化）
&lt;span class="spacer"&gt;&lt;/span&gt;このまま日本語にすると「奴隷にすること」となる。奴隷状態にする社会的制度＝「奴隷制度」や、比喩的に「何かに支配されていること」という意味になる。&lt;/span&gt;</t>
    <rPh sb="178" eb="181">
      <t>ニホンゴ</t>
    </rPh>
    <rPh sb="205" eb="208">
      <t>シャカイテキ</t>
    </rPh>
    <rPh sb="208" eb="210">
      <t>セイド</t>
    </rPh>
    <rPh sb="219" eb="222">
      <t>ヒユテキ</t>
    </rPh>
    <rPh sb="224" eb="225">
      <t>ナニ</t>
    </rPh>
    <rPh sb="227" eb="229">
      <t>シハイ</t>
    </rPh>
    <rPh sb="240" eb="242">
      <t>イミ</t>
    </rPh>
    <phoneticPr fontId="1"/>
  </si>
  <si>
    <t>&lt;span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t>
    <rPh sb="173" eb="176">
      <t>ニホンゴ</t>
    </rPh>
    <rPh sb="181" eb="182">
      <t>マエ</t>
    </rPh>
    <rPh sb="188" eb="189">
      <t>ツカ</t>
    </rPh>
    <rPh sb="217" eb="218">
      <t>アラワ</t>
    </rPh>
    <rPh sb="234" eb="236">
      <t>エモノ</t>
    </rPh>
    <rPh sb="240" eb="242">
      <t>イミ</t>
    </rPh>
    <rPh sb="319" eb="320">
      <t>サ</t>
    </rPh>
    <rPh sb="328" eb="331">
      <t>ギセイシャ</t>
    </rPh>
    <rPh sb="335" eb="337">
      <t>イミ</t>
    </rPh>
    <phoneticPr fontId="1"/>
  </si>
  <si>
    <t>mittereの過去分詞missus（置かれたもの, 食卓に出される皿）</t>
    <phoneticPr fontId="1"/>
  </si>
  <si>
    <t>&lt;span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t>
    <rPh sb="151" eb="154">
      <t>メイシカ</t>
    </rPh>
    <rPh sb="188" eb="191">
      <t>ニホンゴ</t>
    </rPh>
    <rPh sb="214" eb="216">
      <t>イミ</t>
    </rPh>
    <rPh sb="237" eb="238">
      <t>ダイ</t>
    </rPh>
    <rPh sb="238" eb="240">
      <t>フキョウ</t>
    </rPh>
    <rPh sb="244" eb="246">
      <t>テイド</t>
    </rPh>
    <rPh sb="247" eb="248">
      <t>カル</t>
    </rPh>
    <rPh sb="250" eb="253">
      <t>イチジテキ</t>
    </rPh>
    <rPh sb="260" eb="261">
      <t>アラワ</t>
    </rPh>
    <rPh sb="262" eb="264">
      <t>コトバ</t>
    </rPh>
    <rPh sb="282" eb="284">
      <t>イミ</t>
    </rPh>
    <phoneticPr fontId="1"/>
  </si>
  <si>
    <t>&lt;span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t>
    <rPh sb="177" eb="178">
      <t>ゴ</t>
    </rPh>
    <rPh sb="179" eb="180">
      <t>カク</t>
    </rPh>
    <rPh sb="191" eb="194">
      <t>ブツリテキ</t>
    </rPh>
    <rPh sb="220" eb="222">
      <t>イミ</t>
    </rPh>
    <rPh sb="229" eb="230">
      <t>ヒ</t>
    </rPh>
    <rPh sb="231" eb="232">
      <t>コ</t>
    </rPh>
    <rPh sb="234" eb="235">
      <t>カク</t>
    </rPh>
    <rPh sb="242" eb="243">
      <t>カク</t>
    </rPh>
    <rPh sb="244" eb="245">
      <t>ガ</t>
    </rPh>
    <rPh sb="247" eb="250">
      <t>ヒナンジョ</t>
    </rPh>
    <rPh sb="254" eb="256">
      <t>イミ</t>
    </rPh>
    <phoneticPr fontId="1"/>
  </si>
  <si>
    <t>re（後ろへ）＋trahere（引く）
trahere（引き戻す, 撤退させる）</t>
    <phoneticPr fontId="1"/>
  </si>
  <si>
    <t>&lt;span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t>
    <rPh sb="111" eb="114">
      <t>コエイゴ</t>
    </rPh>
    <rPh sb="116" eb="117">
      <t>マエ</t>
    </rPh>
    <rPh sb="130" eb="131">
      <t>アナ</t>
    </rPh>
    <rPh sb="132" eb="133">
      <t>ホ</t>
    </rPh>
    <rPh sb="137" eb="138">
      <t>アラワ</t>
    </rPh>
    <rPh sb="139" eb="140">
      <t>ゴ</t>
    </rPh>
    <rPh sb="148" eb="149">
      <t>ホ</t>
    </rPh>
    <rPh sb="152" eb="153">
      <t>アナ</t>
    </rPh>
    <rPh sb="154" eb="155">
      <t>ミゾ</t>
    </rPh>
    <rPh sb="156" eb="157">
      <t>サ</t>
    </rPh>
    <rPh sb="167" eb="169">
      <t>シシャ</t>
    </rPh>
    <rPh sb="170" eb="172">
      <t>マイソウ</t>
    </rPh>
    <rPh sb="175" eb="176">
      <t>ハカ</t>
    </rPh>
    <rPh sb="180" eb="182">
      <t>イミ</t>
    </rPh>
    <phoneticPr fontId="1"/>
  </si>
  <si>
    <t>&lt;span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t>
    <rPh sb="96" eb="98">
      <t>ユライ</t>
    </rPh>
    <rPh sb="132" eb="133">
      <t>ゴ</t>
    </rPh>
    <rPh sb="135" eb="136">
      <t>ハシラ</t>
    </rPh>
    <rPh sb="139" eb="140">
      <t>タテ</t>
    </rPh>
    <rPh sb="141" eb="142">
      <t>ノ</t>
    </rPh>
    <rPh sb="144" eb="146">
      <t>ホソナガ</t>
    </rPh>
    <rPh sb="147" eb="149">
      <t>ケイジョウ</t>
    </rPh>
    <rPh sb="153" eb="155">
      <t>サマザマ</t>
    </rPh>
    <rPh sb="156" eb="158">
      <t>イミ</t>
    </rPh>
    <rPh sb="159" eb="161">
      <t>ハッテン</t>
    </rPh>
    <rPh sb="166" eb="168">
      <t>ヤネ</t>
    </rPh>
    <rPh sb="169" eb="170">
      <t>ササ</t>
    </rPh>
    <rPh sb="214" eb="215">
      <t>ラン</t>
    </rPh>
    <rPh sb="227" eb="229">
      <t>トクテイ</t>
    </rPh>
    <rPh sb="230" eb="231">
      <t>ラン</t>
    </rPh>
    <rPh sb="232" eb="233">
      <t>カ</t>
    </rPh>
    <rPh sb="245" eb="247">
      <t>イミ</t>
    </rPh>
    <phoneticPr fontId="1"/>
  </si>
  <si>
    <t>&lt;span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t>
    <rPh sb="46" eb="47">
      <t>フ</t>
    </rPh>
    <rPh sb="47" eb="49">
      <t>カサン</t>
    </rPh>
    <rPh sb="195" eb="197">
      <t>コダイ</t>
    </rPh>
    <rPh sb="201" eb="202">
      <t>ゴ</t>
    </rPh>
    <rPh sb="217" eb="219">
      <t>ユライ</t>
    </rPh>
    <rPh sb="241" eb="243">
      <t>キュウケイ</t>
    </rPh>
    <rPh sb="280" eb="281">
      <t>アラワ</t>
    </rPh>
    <rPh sb="287" eb="288">
      <t>ツカ</t>
    </rPh>
    <rPh sb="340" eb="342">
      <t>ハッテン</t>
    </rPh>
    <rPh sb="345" eb="347">
      <t>ゲンジツ</t>
    </rPh>
    <rPh sb="381" eb="383">
      <t>イミ</t>
    </rPh>
    <phoneticPr fontId="1"/>
  </si>
  <si>
    <t>skēnē（テント, 小屋）</t>
    <rPh sb="11" eb="13">
      <t>コヤ</t>
    </rPh>
    <phoneticPr fontId="1"/>
  </si>
  <si>
    <t>&lt;span class="w"&gt;&lt;b&gt;【1176.plot：物語や小説の筋】&lt;/b&gt;&lt;/span&gt;
&lt;span class="ml"&gt;古英語plot（明確な形に区切られた小さな土地）にさかのぼる。
&lt;span class="spacer"&gt;&lt;/span&gt;この語の核は「物事を配置して組み立てる」。もともとは、明確な形に区切られた小さな土地を表した。そこから実際の土地そのものだけではなく、紙の上に描かれた土地の見取り図や平面図を表すようになる。
&lt;span class="spacer"&gt;&lt;/span&gt;平面に線を引いて綿密に要素を組み立てて図を作るという行為から、ひそかに計画を練る「陰謀」や、物語や劇などのために練り上げられた「話の筋書き」という意味になった。&lt;/span&gt;</t>
    <rPh sb="129" eb="130">
      <t>ゴ</t>
    </rPh>
    <rPh sb="131" eb="132">
      <t>カク</t>
    </rPh>
    <rPh sb="134" eb="136">
      <t>モノゴト</t>
    </rPh>
    <rPh sb="137" eb="139">
      <t>ハイチ</t>
    </rPh>
    <rPh sb="141" eb="142">
      <t>ク</t>
    </rPh>
    <rPh sb="143" eb="144">
      <t>タ</t>
    </rPh>
    <rPh sb="170" eb="171">
      <t>アラワ</t>
    </rPh>
    <rPh sb="178" eb="180">
      <t>ジッサイ</t>
    </rPh>
    <rPh sb="181" eb="183">
      <t>トチ</t>
    </rPh>
    <rPh sb="194" eb="195">
      <t>カミ</t>
    </rPh>
    <rPh sb="196" eb="197">
      <t>ウエ</t>
    </rPh>
    <rPh sb="198" eb="199">
      <t>エガ</t>
    </rPh>
    <rPh sb="202" eb="204">
      <t>トチ</t>
    </rPh>
    <rPh sb="205" eb="207">
      <t>ミト</t>
    </rPh>
    <rPh sb="208" eb="209">
      <t>ズ</t>
    </rPh>
    <rPh sb="210" eb="213">
      <t>ヘイメンズ</t>
    </rPh>
    <rPh sb="214" eb="215">
      <t>アラワ</t>
    </rPh>
    <rPh sb="254" eb="255">
      <t>セン</t>
    </rPh>
    <rPh sb="256" eb="257">
      <t>ヒ</t>
    </rPh>
    <rPh sb="259" eb="261">
      <t>メンミツ</t>
    </rPh>
    <rPh sb="262" eb="264">
      <t>ヨウソ</t>
    </rPh>
    <rPh sb="265" eb="266">
      <t>ク</t>
    </rPh>
    <rPh sb="267" eb="268">
      <t>タ</t>
    </rPh>
    <rPh sb="270" eb="271">
      <t>ズ</t>
    </rPh>
    <rPh sb="272" eb="273">
      <t>ツク</t>
    </rPh>
    <rPh sb="277" eb="279">
      <t>コウイ</t>
    </rPh>
    <rPh sb="286" eb="288">
      <t>ケイカク</t>
    </rPh>
    <rPh sb="289" eb="290">
      <t>ネ</t>
    </rPh>
    <rPh sb="307" eb="308">
      <t>ネ</t>
    </rPh>
    <rPh sb="309" eb="310">
      <t>ア</t>
    </rPh>
    <rPh sb="315" eb="316">
      <t>ハナシ</t>
    </rPh>
    <rPh sb="324" eb="326">
      <t>イミ</t>
    </rPh>
    <phoneticPr fontId="1"/>
  </si>
  <si>
    <t>後期古英語</t>
    <phoneticPr fontId="1"/>
  </si>
  <si>
    <t>&lt;span class="w"&gt;&lt;b&gt;【1177.sculpture：彫刻（作品）】&lt;/b&gt;&lt;/span&gt;
&lt;span class="ml"&gt;ラテン語に由来する語で、以下の2つの要素から成る。
&lt;span class="spacer"&gt;&lt;/span&gt;sculpere（彫る, 刻む）
ura（名詞化）
&lt;span class="spacer"&gt;&lt;/span&gt;このまま日本語にすると「彫ること」となる。そこから芸術ジャンルとしての「彫刻」や、それによって作られた「彫刻作品」という意味になる。&lt;/span&gt;</t>
    <rPh sb="146" eb="149">
      <t>メイシカ</t>
    </rPh>
    <rPh sb="183" eb="186">
      <t>ニホンゴ</t>
    </rPh>
    <rPh sb="204" eb="206">
      <t>ゲイジュツ</t>
    </rPh>
    <rPh sb="226" eb="227">
      <t>ツク</t>
    </rPh>
    <rPh sb="239" eb="241">
      <t>イミ</t>
    </rPh>
    <phoneticPr fontId="1"/>
  </si>
  <si>
    <t>日本語でも使われるタブレットや、table（テーブル）から形状をイメージする。</t>
    <phoneticPr fontId="1"/>
  </si>
  <si>
    <t>&lt;span class="w"&gt;&lt;b&gt;【1178.tablet：タブレット端末, 錠剤】&lt;/b&gt;&lt;/span&gt;
&lt;span class="ml"&gt;ラテン語に由来する語で、以下の2つの要素から成る。
&lt;span class="spacer"&gt;&lt;/span&gt;tabula（平板：tableの語源）
eta（小さいことを表す）
&lt;span class="spacer"&gt;&lt;/span&gt;このまま日本語にすると「小さな板」となる。もともとは、主に文字を書き留めるための小さな板（ろう引きの書字板など）を表した。そしてその平たくて薄い形状から発展して、小さな板の形状をした薬＝「錠剤」や、小さな板の形状をした「タブレット端末」という意味になった。
&lt;div class="sample_image tablet"&gt;&lt;/div&gt;&lt;/span&gt;</t>
    <rPh sb="151" eb="152">
      <t>チイ</t>
    </rPh>
    <rPh sb="157" eb="158">
      <t>アラワ</t>
    </rPh>
    <rPh sb="193" eb="196">
      <t>ニホンゴ</t>
    </rPh>
    <rPh sb="246" eb="247">
      <t>アラワ</t>
    </rPh>
    <rPh sb="255" eb="256">
      <t>ヒラ</t>
    </rPh>
    <rPh sb="259" eb="260">
      <t>ウス</t>
    </rPh>
    <rPh sb="261" eb="263">
      <t>ケイジョウ</t>
    </rPh>
    <rPh sb="265" eb="267">
      <t>ハッテン</t>
    </rPh>
    <rPh sb="310" eb="312">
      <t>イミ</t>
    </rPh>
    <phoneticPr fontId="1"/>
  </si>
  <si>
    <t>日本語でも使われるパラレルワールド（並行世界）と関連させて覚える。</t>
    <rPh sb="0" eb="3">
      <t>ニホンゴ</t>
    </rPh>
    <rPh sb="5" eb="6">
      <t>ツカ</t>
    </rPh>
    <rPh sb="18" eb="22">
      <t>ヘイコウセカイ</t>
    </rPh>
    <rPh sb="24" eb="26">
      <t>カンレン</t>
    </rPh>
    <rPh sb="29" eb="30">
      <t>オボ</t>
    </rPh>
    <phoneticPr fontId="1"/>
  </si>
  <si>
    <t>日本語でも使われるテンション（tension, 緊張）と関連させて覚える。</t>
    <phoneticPr fontId="1"/>
  </si>
  <si>
    <t>sense（感覚）の形容詞として覚える。</t>
    <rPh sb="10" eb="13">
      <t>ケイヨウシ</t>
    </rPh>
    <phoneticPr fontId="1"/>
  </si>
  <si>
    <t>&lt;span class="w"&gt;&lt;b&gt;【1179.dense：密集した, 密度の高い, （霧などが）濃い】&lt;/b&gt;&lt;/span&gt;
&lt;span class="ml"&gt;ラテン語densus（密集した, 混み合った）に由来する。
&lt;span class="spacer"&gt;&lt;/span&gt;ラテン語からの意味の変化はほとんどない。この語の核は「ぎゅっと詰まっている」。&lt;/span&gt;</t>
  </si>
  <si>
    <t>&lt;span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t>
  </si>
  <si>
    <t>&lt;span class="w"&gt;&lt;b&gt;【1181.acid：酸性の, 酸っぱい】&lt;/b&gt;&lt;/span&gt;
&lt;span class="ml"&gt;ラテン語acidus（酸っぱい, 鋭い）に由来する。
&lt;span class="spacer"&gt;&lt;/span&gt;ラテン語から意味の変化はほとんどない。これより前の印欧祖語にさかのぼると、*ak-（鋭い, 尖った）に由来する。口の中でチクチクする尖ったような感覚（ak-）から、「酸性の, 酸っぱい」という意味になった。
&lt;span class="spacer"&gt;&lt;/span&gt;この印欧祖語からはacute（急性の, 痛みが鋭く激しい, 鋭い）も生まれている。acid, acuteのac部分は「鋭い」というイメージを持っておくとよい。&lt;/span&gt;</t>
  </si>
  <si>
    <t>ak-（鋭い, 尖った）</t>
  </si>
  <si>
    <t>日本語でも使われるビターチョコ（苦い）と関連させて覚える。</t>
  </si>
  <si>
    <t>&lt;span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t>
  </si>
  <si>
    <t>&lt;span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t>
  </si>
  <si>
    <t>14世紀後期
感覚や感情を持つ能力がある
感知できる
比喩的に、精神で知覚して簡単に理解できる
&lt;span class="spacer"&gt;&lt;/span&gt;1400年頃
知的な知覚能力がある
洞察力のある, 賢い
&lt;span class="spacer"&gt;&lt;/span&gt;15世紀初頭までに
何かを意識して認識している</t>
  </si>
  <si>
    <t>1650年代
衣類や靴などに関して、流行に流されず実用的な</t>
  </si>
  <si>
    <t>&lt;span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t>
  </si>
  <si>
    <t>&lt;span class="w"&gt;&lt;b&gt;【1185.vague：曖昧な, 漠然とした】&lt;/b&gt;&lt;/span&gt;
&lt;span class="ml"&gt;ラテン語vagus（ぶらつく, 放浪する）に由来する。
&lt;span class="spacer"&gt;&lt;/span&gt;行き先が定まっておらず、ふらふらしている様子から比喩的に、言葉の意味や考え、感情などがはっきりしていなくて「曖昧な, 漠然とした」という意味になった。
&lt;div class="sample_image vague"&gt;&lt;/div&gt;&lt;/span&gt;</t>
  </si>
  <si>
    <t>&lt;span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t>
  </si>
  <si>
    <t>&lt;span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t>
  </si>
  <si>
    <t>&lt;span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t>
  </si>
  <si>
    <t>vertere（回す, 向ける）
&lt;span class="spacer"&gt;&lt;/span&gt;名詞になって
vertex（回転, 渦, 頂点, 最高点）</t>
  </si>
  <si>
    <t>&lt;span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t>
  </si>
  <si>
    <t>&lt;span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t>
  </si>
  <si>
    <t>&lt;span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t>
  </si>
  <si>
    <t>&lt;span class="w"&gt;&lt;b&gt;【1192.abundant：豊富な】&lt;/b&gt;&lt;/span&gt;
&lt;span class="ml"&gt;ラテン語に由来する語で、以下の2つの要素から成る。
&lt;span class="spacer"&gt;&lt;/span&gt;ab（〜から）
undare（波打つ）
&lt;span class="spacer"&gt;&lt;/span&gt;このまま日本語にすると「〜から波打つ」となる。波が打ち寄せて水が溢れるように、物や富、機会などが溢れるほどあり余ることを表して「豊富な」という意味になる。
&lt;div class="sample_image abundant"&gt;&lt;/div&gt;&lt;/span&gt;</t>
  </si>
  <si>
    <t>&lt;span class="w"&gt;&lt;b&gt;【1193.hybrid：ハイブリッドの, 雑種の, 混成の】&lt;/b&gt;&lt;/span&gt;
&lt;span class="ml"&gt;ラテン語ibrida（雑種）に由来する。
&lt;span class="spacer"&gt;&lt;/span&gt;ラテン語から意味の変化はほとんどない。日本語のハイブリッドと同じで、2つのものを混ぜたものを指して「雑種の, 混成の, ハイブリッドの」という意味になる。&lt;/span&gt;</t>
  </si>
  <si>
    <t>&lt;span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t>
  </si>
  <si>
    <t>&lt;span class="w"&gt;&lt;b&gt;【1195.ridiculous：ばかげた】&lt;/b&gt;&lt;/span&gt;
&lt;span class="ml"&gt;ラテン語に由来する語で、以下の2つの要素から成る。
&lt;span class="spacer"&gt;&lt;/span&gt;ridere（笑う）
ulus（形容詞化）
&lt;span class="spacer"&gt;&lt;/span&gt;もともとは笑ってしまう、おかしいということを表したが、時代が下るにつれて嘲笑や呆れというネガティブな意味へ変化して「ばかげた」という意味になった。&lt;/span&gt;</t>
  </si>
  <si>
    <t>&lt;span class="w"&gt;&lt;b&gt;【1196.fairy：妖精の】&lt;/b&gt;&lt;/span&gt;
&lt;span class="ml"&gt;古フランス語に由来する語で、以下の2つの要素から成る。
&lt;span class="spacer"&gt;&lt;/span&gt;fee（妖精）
erie（名詞化：〜の場所）
&lt;span class="spacer"&gt;&lt;/span&gt;もともとは妖精の国を指したが、そこからそこに住んでいる妖精に焦点が当たって「妖精の」という意味になった。&lt;/span&gt;</t>
  </si>
  <si>
    <t>&lt;span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t>
  </si>
  <si>
    <t>ギリシャ神話にはクロノスという時間の神が登場する。chrono-系は時間に関わる語。</t>
  </si>
  <si>
    <t>&lt;span class="w"&gt;&lt;b&gt;【1198.chronic：慢性の, 長引く】&lt;/b&gt;&lt;/span&gt;
&lt;span class="ml"&gt;ギリシャ語に由来する語で、以下の2つの要素から成る。
&lt;span class="spacer"&gt;&lt;/span&gt;khronos（時間）
ikos（形容詞化）
&lt;span class="spacer"&gt;&lt;/span&gt;もともとは、時間に関わるということを表したが、医学用語でacute（急性の）に対して、病気や痛みが長い時間続くことを表すようにになった。そうして病気が「慢性の」や、問題や悪癖などが「長引く」といった意味になった。
&lt;span class="spacer"&gt;&lt;/span&gt;日本語でも使うシンクロする（同時に起こる, synchronize）や、クロニクル（年代記, chronicle）のchro部分も同じギリシャ語に由来して「時間」を表す。&lt;/span&gt;</t>
  </si>
  <si>
    <t>&lt;span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t>
  </si>
  <si>
    <t>&lt;span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t>
  </si>
  <si>
    <t>&lt;span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t>
  </si>
  <si>
    <t>estimate（見積もる）と関連させて覚える。</t>
  </si>
  <si>
    <t>&lt;span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t>
  </si>
  <si>
    <t>&lt;span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t>
    <phoneticPr fontId="1"/>
  </si>
  <si>
    <t>&lt;span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t>
  </si>
  <si>
    <t>aventure
&lt;span class="spacer"&gt;&lt;/span&gt;1200年頃
偶然に起こること, 運
&lt;span class="spacer"&gt;&lt;/span&gt;1300年頃
自分の運を試すこと, リスク, 危険
&lt;span class="spacer"&gt;&lt;/span&gt;14世紀後期
危険な試み</t>
  </si>
  <si>
    <t>車のアクセルを踏む（加速させる）と関連させて覚える。</t>
  </si>
  <si>
    <t>&lt;span class="w"&gt;&lt;b&gt;【1205.accelerate：〜を加速させる, 〜を促進させる, 加速する】&lt;/b&gt;&lt;/span&gt;
&lt;span class="ml"&gt;ラテン語に由来する語で、以下の2つの要素から成る。
&lt;span class="spacer"&gt;&lt;/span&gt;ad（〜へ）
celerare（速める）
&lt;span class="spacer"&gt;&lt;/span&gt;このまま日本語にすると「〜へ速める」となる。物理的に速度を速めるだけではなく、物事の進行や成長に対しても「加速させる, 加速する」という意味になった。&lt;/span&gt;</t>
  </si>
  <si>
    <t>&lt;span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t>
  </si>
  <si>
    <t>アミューズメントパーク（遊園地, 楽しませる場所）のamusementの動詞として覚える。</t>
  </si>
  <si>
    <t>&lt;span class="w"&gt;&lt;b&gt;【1207.amuse：〜を楽しませる】&lt;/b&gt;&lt;/span&gt;
&lt;span class="ml"&gt;古フランス語に由来する語で、以下の2つの要素から成る。
&lt;span class="spacer"&gt;&lt;/span&gt;a（使役）
muser（物思いにふける, じっと見つめる）
&lt;span class="spacer"&gt;&lt;/span&gt;もともとは、相手を物思いにふけるようにさせることを表した。これは、相手の注意や思考を操り、ある一つのことに縛りつけるイメージ。そこから、相手の注意を日常の真面目なことからそらして「楽しませる」という意味になった。&lt;/span&gt;</t>
  </si>
  <si>
    <t>&lt;span class="w"&gt;&lt;b&gt;【1208.flourish：繁栄する】&lt;/b&gt;&lt;/span&gt;
&lt;span class="ml"&gt;ラテン語flos（花）に由来する。
&lt;span class="spacer"&gt;&lt;/span&gt;草木が豊かに花を咲かせ、力強く成長する様子から、比喩的に、花が咲き誇るように人や社会、芸術、文化などが「繁栄する」という意味になった。
&lt;div class="sample_image flourish"&gt;&lt;/div&gt;&lt;/span&gt;</t>
    <phoneticPr fontId="1"/>
  </si>
  <si>
    <t>&lt;span class="w"&gt;&lt;b&gt;【1211.click：クリックする, カチッと鳴らす】&lt;/b&gt;&lt;/span&gt;
&lt;span class="ml"&gt;近代英語にさかのぼり、おそらく擬音語で弱く鋭い音を立てることを表した。そこから「カチッと鳴らす」やマウスで「クリックする」という意味になった。&lt;/span&gt;</t>
  </si>
  <si>
    <t>&lt;span class="w"&gt;&lt;b&gt;【1212.spin：回転する, 〜を回転させる】&lt;/b&gt;&lt;/span&gt;
&lt;span class="ml"&gt;古英語spinnan（繊維を引き出し、より合わせて糸にする, ねじる）にさかのぼる。
&lt;span class="spacer"&gt;&lt;/span&gt;もともとは、羊毛や綿の塊から繊維を引き出しながら、それをねじって1本の糸にすることを表した。そこから何かを「回転させる, 回転する」という意味になった。&lt;/span&gt;</t>
  </si>
  <si>
    <t>&lt;span class="w"&gt;&lt;b&gt;【1213.clip：〜を切り抜く】&lt;/b&gt;&lt;/span&gt;
&lt;span class="ml"&gt;中英語にさかのぼる。おそらく日本語で言えば「チョキ, カチッ」といった擬音語で、鋭い道具で切ることを表した。そこから何かを「切り抜く」という意味になった。&lt;/span&gt;</t>
  </si>
  <si>
    <t>draw（引く, 線を引く）と兄弟語。</t>
  </si>
  <si>
    <t>&lt;span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t>
  </si>
  <si>
    <t>&lt;span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t>
  </si>
  <si>
    <t>flower（花）が鮮やかに咲き誇るように繁栄したり、花開くというイメージ。</t>
    <rPh sb="21" eb="23">
      <t>ハンエイ</t>
    </rPh>
    <rPh sb="27" eb="29">
      <t>ハナヒラ</t>
    </rPh>
    <phoneticPr fontId="1"/>
  </si>
  <si>
    <t>何かをしっかりと自分のものにして、安定して成長して繁栄するというイメージ。</t>
    <rPh sb="0" eb="1">
      <t>ナニ</t>
    </rPh>
    <rPh sb="8" eb="10">
      <t>ジブン</t>
    </rPh>
    <rPh sb="17" eb="19">
      <t>アンテイ</t>
    </rPh>
    <rPh sb="21" eb="23">
      <t>セイチョウ</t>
    </rPh>
    <rPh sb="25" eb="27">
      <t>ハンエイ</t>
    </rPh>
    <phoneticPr fontId="1"/>
  </si>
  <si>
    <t>&lt;span class="w"&gt;&lt;b&gt;【1209.thrive：繁栄する, 成長する】&lt;/b&gt;&lt;/span&gt;
&lt;span class="ml"&gt;古ノルド語þrifask（自分のものにする, うまくやる, 繁栄する）に由来する。
&lt;span class="spacer"&gt;&lt;/span&gt;もともとは、自分のために何かをつかんで、それを自分のものにするという物理的な動作を表した。その動作から、自分が生きるための糧や富、財産などをしっかりとつかみ取るというイメージになり、富を得る、豊かになるというニュアンスへと発展した。
&lt;span class="spacer"&gt;&lt;/span&gt;そこからさらに意味が広がり、社会や人間、動植物などが力強く「成長する, 繁栄する」という意味になった。
&lt;div class="sample_image thrive"&gt;&lt;/div&gt;&lt;/span&gt;</t>
    <rPh sb="38" eb="40">
      <t>セイチョウ</t>
    </rPh>
    <rPh sb="154" eb="155">
      <t>ナニ</t>
    </rPh>
    <rPh sb="189" eb="191">
      <t>ドウサ</t>
    </rPh>
    <phoneticPr fontId="1"/>
  </si>
  <si>
    <t>&lt;span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t>
    <phoneticPr fontId="1"/>
  </si>
  <si>
    <t>日本語でも使われるドラマや映画のキャスト（投げられた役）と関連させて覚える。</t>
  </si>
  <si>
    <t>&lt;span class="w"&gt;&lt;b&gt;【1216.scatter：〜を撒き散らす, 分散する】&lt;/b&gt;&lt;/span&gt;
&lt;span class="ml"&gt;中英語scateren（浪費する）にさかのぼる。
&lt;span class="spacer"&gt;&lt;/span&gt;もともとは浪費することを表したが、物やお金をばらまくことから発展して、何かを「撒き散らす」や何かが「分散する」という意味になった。&lt;/span&gt;
&lt;div class="animation scatter"&gt;&lt;/div&gt;</t>
  </si>
  <si>
    <t>attemptとセットで覚える。</t>
  </si>
  <si>
    <t>&lt;span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t>
  </si>
  <si>
    <t>&lt;span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t>
  </si>
  <si>
    <t>&lt;span class="w"&gt;&lt;b&gt;【1219.yawn：あくびをする】&lt;/b&gt;&lt;/span&gt;
&lt;span class="ml"&gt;中英語yenen / yonen（口を大きく開ける）にさかのぼる。
&lt;span class="spacer"&gt;&lt;/span&gt;この語の核は「ぽっかり開いた空間」。そこから口を大きく開ける、特に「あくびをする」という意味になった。&lt;/span&gt;</t>
  </si>
  <si>
    <t>&lt;span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t>
  </si>
  <si>
    <t>&lt;span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t>
  </si>
  <si>
    <t>&lt;span class="w"&gt;&lt;b&gt;【1223.irritate：〜をいらいらさせる, 〜をヒリヒリさせる】&lt;/b&gt;&lt;/span&gt;
&lt;span class="ml"&gt;ラテン語irritare（刺激する）に由来する。
&lt;span class="spacer"&gt;&lt;/span&gt;この語の核は「静かだったものをかき回して動き出させる」。もともとは物理的に刺激して反応を起こさせることを表した。そこから、肌や目などを刺激して「ヒリヒリさせる」という意味になった。
&lt;span class="spacer"&gt;&lt;/span&gt;また心理面において、相手を何度も刺激することで不快にさせたり、心を逆撫でしたりすることから、相手を「いらいらさせる」という意味になった。
&lt;div class="sample_image irritate"&gt;&lt;/div&gt;&lt;/span&gt;</t>
  </si>
  <si>
    <t>irritare（刺激する, かき立てる）
&lt;span class="spacer"&gt;&lt;/span&gt;過去分詞irritatus</t>
  </si>
  <si>
    <t>&lt;span class="w"&gt;&lt;b&gt;【1224.insult：〜を侮辱する】&lt;/b&gt;&lt;/span&gt;
&lt;span class="ml"&gt;ラテン語に由来する語で、以下の2つの要素から成る。
&lt;span class="spacer"&gt;&lt;/span&gt;in（上に）
salire（跳ぶ）
&lt;span class="spacer"&gt;&lt;/span&gt;もともとは、相手の上に飛びかかって踏みつけるという暴力的な行為を表した。そこから比喩的に、相手の尊厳を踏みつけることへと変化して「侮辱する」という意味になった。
&lt;div class="sample_image insult"&gt;&lt;/div&gt;&lt;/span&gt;</t>
  </si>
  <si>
    <t>&lt;span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t>
  </si>
  <si>
    <t>&lt;span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t>
  </si>
  <si>
    <t>&lt;span class="w"&gt;&lt;b&gt;【1227.drain：（液体）を流出させる, （液体が）流れ出る】&lt;/b&gt;&lt;/span&gt;
&lt;span class="ml"&gt;ゲルマン祖語*dreug-（乾く, 乾かす）にさかのぼる。
&lt;span class="spacer"&gt;&lt;/span&gt;drainのdr部分は「乾く」という意味。これはdry（乾いた）やdrought（干ばつ）と同じ。乾くということは、水分が抜けるということなので、drainは液体を「流出させる, 流出する」という意味になる。&lt;/span&gt;</t>
  </si>
  <si>
    <t>&lt;span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t>
  </si>
  <si>
    <t>sub（下から）＋pendere（吊るす）
suspendere（吊るす, 止める, 中断する）</t>
  </si>
  <si>
    <t>driftは雨や雪が風に吹き寄せられたり、家畜をある方向に追い立てたりするように、ある方向に流されていくイメージ。</t>
  </si>
  <si>
    <t>&lt;span class="w"&gt;&lt;b&gt;【1229.drift：漂う, 押し流す】&lt;/b&gt;&lt;/span&gt;
&lt;span class="ml"&gt;古ノルド語drift（吹き寄せられる雪）や中世オランダ語drift（追い立てられる家畜の群れ）からの借用とする説や、英語drive（駆り立てる）から派生したとする説がある。
&lt;span class="spacer"&gt;&lt;/span&gt;drive（駆り立てる）に名詞を作るt / thが付くことで、駆り立てられたものを表す。
&lt;span class="obsolete"&gt;名詞を作るt / thは以下にも見られる。
heal / health
dry / drought
wide / width&lt;/span&gt;
&lt;span class="spacer"&gt;&lt;/span&gt;もともとは、雨風や雪、外部からの力によってまとまってある方向に移動させられたもの（駆り立てられたもの）を指した。そこから動詞になって、対象をある方向に「押し流す」や、その流れに乗って「漂う」という意味になった。&lt;/span&gt;</t>
  </si>
  <si>
    <t>&lt;span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t>
  </si>
  <si>
    <t>&lt;span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t>
  </si>
  <si>
    <t>cruit部分はcrew（乗組員, 仲間）と同じ語なので、繰り返し仲間を集めるというイメージ。</t>
  </si>
  <si>
    <t>&lt;span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t>
  </si>
  <si>
    <t>twi部分はtwoやtwinと同じで「2」を意味する。</t>
  </si>
  <si>
    <t>&lt;span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t>
  </si>
  <si>
    <t>&lt;span class="w"&gt;&lt;b&gt;【1234.crush：〜を押しつぶす, 〜を弾圧する】&lt;/b&gt;&lt;/span&gt;
&lt;span class="ml"&gt;古フランス語cruissir（歯をぎしぎし鳴らす, 粉砕する）に由来する。
&lt;span class="spacer"&gt;&lt;/span&gt;歯をぎしぎし鳴らしたり、噛み砕くように、物理的に強い力を加えて何かを「押しつぶす」という意味になる。
&lt;span class="spacer"&gt;&lt;/span&gt;またそこから比喩的に、相手を押しつぶすように「弾圧する, 打ち負かす」や、相手の夢や希望を「打ち砕く」という意味にもなる。これらは物理的な意味からの派生なので、文脈で理解すればよい。&lt;/span&gt;</t>
  </si>
  <si>
    <t>&lt;span class="w"&gt;&lt;b&gt;【1235.pin：〜をピンで止める, 〜を突き刺す】&lt;/b&gt;&lt;/span&gt;
&lt;span class="ml"&gt;古英語pinn（留め具のピン）にさかのぼる。
&lt;span class="spacer"&gt;&lt;/span&gt;ピンで一箇所に固定するイメージからピンを「突き刺す」やピンで「留める」という意味になる。&lt;/span&gt;</t>
  </si>
  <si>
    <t>&lt;span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t>
  </si>
  <si>
    <t>&lt;span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t>
  </si>
  <si>
    <t>&lt;span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t>
  </si>
  <si>
    <t>&lt;span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t>
  </si>
  <si>
    <t>&lt;span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t>
  </si>
  <si>
    <t>&lt;span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t>
    <phoneticPr fontId="1"/>
  </si>
  <si>
    <t>&lt;span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t>
    <phoneticPr fontId="1"/>
  </si>
  <si>
    <t>&lt;span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t>
    <phoneticPr fontId="1"/>
  </si>
  <si>
    <t>&lt;span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t>
    <phoneticPr fontId="1"/>
  </si>
  <si>
    <t>日本語のプロフィールのこと。</t>
  </si>
  <si>
    <t>&lt;span class="w"&gt;&lt;b&gt;【1241.profile：人物の紹介, 横顔, 輪郭】&lt;/b&gt;&lt;/span&gt;
&lt;span class="ml"&gt;イタリア語に由来する語で、以下の2つの要素から成る。
&lt;span class="spacer"&gt;&lt;/span&gt;pro（前へ）
filare（線を引く）
&lt;span class="spacer"&gt;&lt;/span&gt;このまま日本語にすると「前へ線を引く」となる。これは芸術用語として使われ、対象物の外側を線を引いて描くことから「輪郭」や、輪郭がはっきりとわかる「横顔」を指した（正面から見た顔は鼻や口などの輪郭がわからない）。
&lt;span class="spacer"&gt;&lt;/span&gt;人の横顔を描くことは、その人だけの特徴をとらえることから、比喩的に「人物紹介」という意味になった。&lt;/span&gt;</t>
  </si>
  <si>
    <t>pro（前へ）＋filare（紡ぐ, 引き出す）
profilare（輪郭を描く）
&lt;span class="spacer"&gt;&lt;/span&gt;名詞になって
profilo（輪郭を描いたもの）</t>
  </si>
  <si>
    <t>&lt;span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t>
  </si>
  <si>
    <t>script / scribe系は「書く」に関連する。</t>
  </si>
  <si>
    <t>&lt;span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t>
  </si>
  <si>
    <t>日本語でも使われるアニバーサリー（周年）と同じ。</t>
  </si>
  <si>
    <t>&lt;span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t>
  </si>
  <si>
    <t>&lt;span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t>
  </si>
  <si>
    <t>&lt;span class="w"&gt;&lt;b&gt;【1247.temper：気質, 気性, 機嫌, かんしゃく】&lt;/b&gt;&lt;/span&gt;
&lt;span class="ml"&gt;ラテン語temperare（適度にする, 適切な割合で混ぜる）に由来する。
&lt;span class="spacer"&gt;&lt;/span&gt;古代の医学では、四体液説という考えが信じられていた。これは、人の健康や心の状態は、人体の4つの体液＝血液・粘液・黄胆汁・黒胆汁のバランスで決まるとするもの。これら4つの体液が適切に混ざり合った健康な心身の状態をtemperと呼んだ。
&lt;span class="spacer"&gt;&lt;/span&gt;そこから個人の「気質, 気性」や、一時的な「機嫌」、バランスが崩れた状態の「かんしゃく」といった人間の精神状態を意味するようになった。&lt;/span&gt;</t>
  </si>
  <si>
    <t>&lt;span class="w"&gt;&lt;b&gt;【1248.cortex：皮質, 樹皮】&lt;/b&gt;&lt;/span&gt;
&lt;span class="ml"&gt;ラテン語cortex（木の皮, 樹皮）に由来する。
&lt;span class="spacer"&gt;&lt;/span&gt;このラテン語がそのまま英語で「樹皮」として使われるようになった。また、樹皮が木の幹の外側を覆っていることから比喩的に、解剖学において、臓器の外側を覆っている「皮質」を指すようになった。特にその中でも脳の「大脳皮質cerebral cortex」として使われることが多い。
&lt;div class="sample_image cortex"&gt;&lt;/div&gt;&lt;/span&gt;</t>
  </si>
  <si>
    <t>日本語でも使われるメタボリックシンドロームなどの症候群と関連させて覚える。</t>
  </si>
  <si>
    <t>&lt;span class="w"&gt;&lt;b&gt;【1249.syndrome：症候群（様々な症状の群れ）】&lt;/b&gt;&lt;/span&gt;
&lt;span class="ml"&gt;ギリシャ語に由来する語で、以下の2つの要素から成る。
&lt;span class="spacer"&gt;&lt;/span&gt;syn（共に）
dromos（走ること, コース）
&lt;span class="spacer"&gt;&lt;/span&gt;このまま日本語にすると「共に走ること」となる。まるで複数の人が一緒に走るように様々な症状が同時に現れることから、特定の症状の集まり、つまり「症候群」という意味になった。&lt;/span&gt;</t>
  </si>
  <si>
    <t>cameraと同じ語源から生まれた語。カメラはもともと暗い「部屋」を指す語だった。</t>
  </si>
  <si>
    <t>&lt;span class="w"&gt;&lt;b&gt;【1250.chamber：（特定の目的の）部屋, 議場, 議院】&lt;/b&gt;&lt;/span&gt;
&lt;span class="ml"&gt;ギリシャ語kamara（アーチ型の天井の部屋, 丸天井の部屋）に由来する。
&lt;span class="spacer"&gt;&lt;/span&gt;もともとは、丸い天井の部屋を表したが、そこから閉ざされた部屋やプライベートな部屋を表すようになった。
&lt;span class="spacer"&gt;&lt;/span&gt;閉ざされたプライベートな部屋は、開かれていて誰でも見聞きできる空間とは異なり、重要な人が集まって話し合いなどに使用されることから「議場」や「議院」という意味になった。
&lt;span class="obsolete"&gt;the upper / lower chamber（上院・下院）&lt;/span&gt;。
&lt;span class="spacer"&gt;&lt;/span&gt;また閉ざされた部屋という意味からは、心臓の心室や、銃の発射される弾がある薬室、ガス室、加圧室などの「特定の目的のための部屋」として使われるようになった。
&lt;span class="spacer"&gt;&lt;/span&gt;chamberとcamera（カメラ）は同じ語源から生まれた兄弟語。カメラは、もともと小さな穴から光を取り入れて壁に景色を映し出す「暗い部屋（camera obscura）」のことだった。そこから「暗い（obscura）」部分が省略され、部屋自体から写真機そのものを「カメラ」と呼ぶようになった。&lt;/span&gt;</t>
  </si>
  <si>
    <t>kamara（アーチ型の天井の部屋）</t>
  </si>
  <si>
    <t>&lt;span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t>
  </si>
  <si>
    <t>&lt;span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t>
  </si>
  <si>
    <t>&lt;span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t>
  </si>
  <si>
    <t>このfluは流れるようなイメージ。これは次のような語にも見られる。
fluent（流ちょうな）
Influenza（インフルエンザ, 星の悪い影響が流れ込んできたもの）</t>
  </si>
  <si>
    <t>&lt;span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t>
  </si>
  <si>
    <t>&lt;span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t>
  </si>
  <si>
    <t>&lt;span class="w"&gt;&lt;b&gt;【1255.pity：残念なこと, 哀れみ】&lt;/b&gt;&lt;/span&gt;
&lt;span class="ml"&gt;ラテン語pietas（神を敬い仕えること, 忠誠, 義務）に由来する。
&lt;span class="spacer"&gt;&lt;/span&gt;もともとは自分より上位の存在を敬うことを表した。そこからキリスト教の価値観において、神を敬う心となる。神を敬う人々はその教えに従い、弱い者に対して慈悲深くあることから「哀れみ」という感情を意味するようになった。
&lt;span class="spacer"&gt;&lt;/span&gt;また哀れみから出る残念な気持ちから「残念なこと」という意味にもなった。&lt;/span&gt;</t>
  </si>
  <si>
    <t>&lt;span class="w"&gt;&lt;b&gt;【1256.priest：聖職者】&lt;/b&gt;&lt;/span&gt;
&lt;span class="ml"&gt;ギリシャ語presbys（古い）の比較級presbyteros（より年長の者, 長老）に由来する。
&lt;span class="spacer"&gt;&lt;/span&gt;もともとは、共同体の中で経験豊富でみんなのリーダーとなる年長者を表した。そこからキリスト教の集まり（教会）におけるリーダー的存在として「聖職者」という意味になった。&lt;/span&gt;</t>
  </si>
  <si>
    <t>&lt;span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t>
  </si>
  <si>
    <t>&lt;span class="w"&gt;&lt;b&gt;【1258.offspring：子孫】&lt;/b&gt;&lt;/span&gt;
&lt;span class="ml"&gt;古英語にさかのぼり、以下の2つの要素から成る。
&lt;span class="spacer"&gt;&lt;/span&gt;of（〜から離れて）
springan（跳ねる）
&lt;span class="spacer"&gt;&lt;/span&gt;このまま日本語にすると「跳ねて離れる」となる。これは何かがポンポン飛び出てくるイメージから、親という源流から跳び出してきた新たな命を表して「子孫」という意味になった。
&lt;span class="spacer"&gt;&lt;/span&gt;spring自体には次のような意味がある。地面から水が湧き出す「泉」、植物が土から一斉に芽吹く「春」、金属が跳ね返す「バネ」。すべて跳ねるというイメージを保っている。&lt;/span&gt;</t>
  </si>
  <si>
    <t>fam</t>
  </si>
  <si>
    <t>&lt;span class="w"&gt;&lt;b&gt;【1259.famine：飢饉】&lt;/b&gt;&lt;/span&gt;
&lt;span class="ml"&gt;ラテン語fames（飢え, 飢饉）に由来する。
&lt;span class="spacer"&gt;&lt;/span&gt;ラテン語から意味の変化はほとんどない。規模の大きい社会レベルの深刻な食糧不足、つまり「飢饉」を意味する。&lt;/span&gt;</t>
  </si>
  <si>
    <t>&lt;span class="w"&gt;&lt;b&gt;【1260.deforestation：森林伐採】&lt;/b&gt;&lt;/span&gt;
&lt;span class="ml"&gt;近代英語にさかのぼり、以下の3つの要素から成る。
&lt;span class="spacer"&gt;&lt;/span&gt;de（除去）
forest（森林）
ation（名詞化）
&lt;span class="spacer"&gt;&lt;/span&gt;このまま日本語にすると「森林を除去すること」となる。森林を切り倒してなくしてしまうことから「森林伐採」という意味になる。&lt;/span&gt;</t>
  </si>
  <si>
    <t>&lt;span class="w"&gt;&lt;b&gt;【1261.jail：刑務所, 拘置所】&lt;/b&gt;&lt;/span&gt;
&lt;span class="ml"&gt;ラテン語cavea（囲い, 檻, 洞穴）に由来する。
&lt;span class="spacer"&gt;&lt;/span&gt;この語の核は「囲って閉じ込める場所」。そこから裁判を待つ囚人や軽犯罪者を閉じ込めておくための「拘置所, 刑務所」という意味になった。
&lt;span class="spacer"&gt;&lt;/span&gt;jail：一時的な拘留や軽犯罪の短期刑
prison：重犯罪の長期刑&lt;/span&gt;</t>
  </si>
  <si>
    <t>&lt;span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t>
  </si>
  <si>
    <t>com（強意）＋modus（尺度, 方法）
commodus（適切な, 都合の良い, 便利な）
&lt;span class="spacer"&gt;&lt;/span&gt;名詞を作る-tasが付いて
commoditas（適合, 適応, 利点）</t>
  </si>
  <si>
    <t>&lt;span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t>
  </si>
  <si>
    <t>&lt;span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t>
  </si>
  <si>
    <t>&lt;span class="w"&gt;&lt;b&gt;【1265.drill：訓練, 反復練習, ドリル】&lt;/b&gt;&lt;/span&gt;
&lt;span class="ml"&gt;近代英語にさかのぼり、回転させて穴をあけるドリルと同じ語。
&lt;span class="spacer"&gt;&lt;/span&gt;もともとは、ドリルの持つイメージ通り、物理的に回転させて深い穴をあけることを表した。この回転して深く刻み込む様子が、軍事において、兵士たちにぐるぐる旋回、行進する練習を何度も行い、動き方を刻み込むことへと発展した。そして軍事に限らず一般的な「訓練」や「反復練習」という意味になった。&lt;/span&gt;</t>
  </si>
  <si>
    <t>&lt;span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t>
  </si>
  <si>
    <t>14世紀後期
可能, 能力
&lt;span class="spacer"&gt;&lt;/span&gt;15世紀半ば
in（否定）＋habilite（可能, 能力）
inhabilite（適性がない, 資格がない）</t>
  </si>
  <si>
    <t>&lt;span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t>
  </si>
  <si>
    <t>&lt;span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t>
  </si>
  <si>
    <t>&lt;span class="w"&gt;&lt;b&gt;【1269.debris：残骸, 瓦礫】&lt;/b&gt;&lt;/span&gt;
&lt;span class="ml"&gt;古フランス語に由来する語で、以下の2つの要素から成る。
&lt;span class="spacer"&gt;&lt;/span&gt;de（完全に）
briser（壊す）
&lt;span class="spacer"&gt;&lt;/span&gt;このまま日本語にすると「完全に壊す」となる。そこから破壊した結果に生じる「残骸, 瓦礫」という意味になった。デブリは日本語でもスペースデブリ（宇宙ごみ）や、原子力発電所の事故によって溶け落ちた核燃料が固まった燃料デブリなどで使われる。&lt;/span&gt;</t>
  </si>
  <si>
    <t>&lt;span class="w"&gt;&lt;b&gt;【1270.bug：病原菌, 虫, 機械やプログラムの欠陥・バグ】&lt;/b&gt;&lt;/span&gt;
&lt;span class="ml"&gt;語源は完全には確定していないが、おそらく中英語bugge, bogge（妖怪・恐ろしいもの）にさかのぼる。これらの語はいずれも、目に見えない恐怖や不快感を引き起こす存在と結びついていた。
&lt;span class="spacer"&gt;&lt;/span&gt;近代英語において、そうした性質をもつ、見えにくく不快な小さな存在として「虫」を意味するようになった。
&lt;span class="spacer"&gt;&lt;/span&gt;さらに19世紀には、こうした見えないところで悪さをするものというイメージから、機械や装置の「欠陥, バグ」を指してbugが用いられるようになった。トマス・エジソンもこの用法を使用している。
&lt;span class="spacer"&gt;&lt;/span&gt;また同様の発想から、体内に入り込んで不調を引き起こすものとして、俗語的に「病原菌」を意味する用法も生じた。&lt;/span&gt;</t>
  </si>
  <si>
    <t>1620年代
虫
&lt;span class="spacer"&gt;&lt;/span&gt;1889年
機械の欠陥（これはおそらくエジソンによって作られた意味で、機械内に虫が入り込むという比喩にもとづく）</t>
  </si>
  <si>
    <t>&lt;span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t>
    <rPh sb="39" eb="41">
      <t>シスウ</t>
    </rPh>
    <rPh sb="189" eb="190">
      <t>ゴ</t>
    </rPh>
    <rPh sb="191" eb="192">
      <t>カク</t>
    </rPh>
    <rPh sb="196" eb="197">
      <t>ホウ</t>
    </rPh>
    <rPh sb="197" eb="198">
      <t>ム</t>
    </rPh>
    <rPh sb="199" eb="200">
      <t>ユビ</t>
    </rPh>
    <rPh sb="204" eb="205">
      <t>シメ</t>
    </rPh>
    <rPh sb="207" eb="208">
      <t>ナニ</t>
    </rPh>
    <rPh sb="210" eb="212">
      <t>センゲン</t>
    </rPh>
    <rPh sb="220" eb="221">
      <t>ユビ</t>
    </rPh>
    <rPh sb="235" eb="236">
      <t>ゴ</t>
    </rPh>
    <rPh sb="242" eb="244">
      <t>ヒトサ</t>
    </rPh>
    <rPh sb="245" eb="246">
      <t>ユビ</t>
    </rPh>
    <rPh sb="249" eb="251">
      <t>イミ</t>
    </rPh>
    <rPh sb="255" eb="257">
      <t>エイゴ</t>
    </rPh>
    <rPh sb="259" eb="261">
      <t>ヒトサ</t>
    </rPh>
    <rPh sb="262" eb="263">
      <t>ユビ</t>
    </rPh>
    <rPh sb="277" eb="278">
      <t>ヨ</t>
    </rPh>
    <rPh sb="311" eb="312">
      <t>ナニ</t>
    </rPh>
    <rPh sb="314" eb="317">
      <t>サシシメ</t>
    </rPh>
    <rPh sb="323" eb="325">
      <t>イミ</t>
    </rPh>
    <rPh sb="328" eb="330">
      <t>エイゴ</t>
    </rPh>
    <rPh sb="332" eb="334">
      <t>トウショ</t>
    </rPh>
    <rPh sb="335" eb="336">
      <t>ホン</t>
    </rPh>
    <rPh sb="337" eb="338">
      <t>ナカ</t>
    </rPh>
    <rPh sb="339" eb="341">
      <t>トクテイ</t>
    </rPh>
    <rPh sb="342" eb="344">
      <t>ジョウホウ</t>
    </rPh>
    <rPh sb="345" eb="346">
      <t>ナン</t>
    </rPh>
    <rPh sb="350" eb="351">
      <t>カ</t>
    </rPh>
    <rPh sb="358" eb="359">
      <t>シメ</t>
    </rPh>
    <rPh sb="361" eb="363">
      <t>サクイン</t>
    </rPh>
    <rPh sb="367" eb="369">
      <t>イミ</t>
    </rPh>
    <rPh sb="370" eb="371">
      <t>ツカ</t>
    </rPh>
    <rPh sb="393" eb="395">
      <t>ジョウタイ</t>
    </rPh>
    <rPh sb="396" eb="398">
      <t>ケイコウ</t>
    </rPh>
    <rPh sb="399" eb="402">
      <t>キャッカンテキ</t>
    </rPh>
    <rPh sb="403" eb="405">
      <t>スウチ</t>
    </rPh>
    <rPh sb="411" eb="413">
      <t>シスウ</t>
    </rPh>
    <rPh sb="415" eb="417">
      <t>シヒョウ</t>
    </rPh>
    <rPh sb="421" eb="423">
      <t>イミ</t>
    </rPh>
    <rPh sb="430" eb="431">
      <t>レイ</t>
    </rPh>
    <phoneticPr fontId="1"/>
  </si>
  <si>
    <t>in（中に）＋dicare（宣言する, 指し示す）
indicare（中へ示す, 明らかにする, 指し示す）
&lt;span class="spacer"&gt;&lt;/span&gt;名詞になって
index（指し示すもの, 一覧, 人差し指）</t>
    <rPh sb="20" eb="23">
      <t>サシシメ</t>
    </rPh>
    <phoneticPr fontId="1"/>
  </si>
  <si>
    <t>&lt;span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t>
    <rPh sb="150" eb="153">
      <t>メイシカ</t>
    </rPh>
    <rPh sb="187" eb="190">
      <t>ニホンゴ</t>
    </rPh>
    <rPh sb="260" eb="262">
      <t>コトバ</t>
    </rPh>
    <rPh sb="265" eb="268">
      <t>ロンリテキ</t>
    </rPh>
    <rPh sb="269" eb="270">
      <t>カンガ</t>
    </rPh>
    <rPh sb="278" eb="280">
      <t>ケイケン</t>
    </rPh>
    <rPh sb="284" eb="285">
      <t>トオ</t>
    </rPh>
    <rPh sb="302" eb="304">
      <t>イミ</t>
    </rPh>
    <rPh sb="338" eb="339">
      <t>ジュク</t>
    </rPh>
    <rPh sb="340" eb="342">
      <t>セイト</t>
    </rPh>
    <rPh sb="348" eb="349">
      <t>オコナ</t>
    </rPh>
    <rPh sb="366" eb="367">
      <t>ゴ</t>
    </rPh>
    <rPh sb="382" eb="384">
      <t>ユライ</t>
    </rPh>
    <phoneticPr fontId="1"/>
  </si>
  <si>
    <t>&lt;span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t>
    <rPh sb="135" eb="139">
      <t>ケイヨウシカ</t>
    </rPh>
    <rPh sb="169" eb="170">
      <t>ナニ</t>
    </rPh>
    <rPh sb="172" eb="173">
      <t>ウゴ</t>
    </rPh>
    <rPh sb="176" eb="177">
      <t>カ</t>
    </rPh>
    <rPh sb="178" eb="179">
      <t>タ</t>
    </rPh>
    <rPh sb="184" eb="187">
      <t>ケイヨウシ</t>
    </rPh>
    <rPh sb="188" eb="190">
      <t>メイシ</t>
    </rPh>
    <rPh sb="213" eb="215">
      <t>イミ</t>
    </rPh>
    <phoneticPr fontId="1"/>
  </si>
  <si>
    <t>motusに形容詞を作る-ivusが付いて
motivus（動かす, 駆り立てる）</t>
    <phoneticPr fontId="1"/>
  </si>
  <si>
    <t>医療用語のインフォームド・コンセント（治療に関する情報を得た上で治療に同意すること）と関連させて覚える。</t>
    <phoneticPr fontId="1"/>
  </si>
  <si>
    <t>日本語でも使われるヒエラルキー（階級）と関連させて覚える。</t>
    <phoneticPr fontId="1"/>
  </si>
  <si>
    <t>覚えるときの要素</t>
    <rPh sb="0" eb="1">
      <t>オボ</t>
    </rPh>
    <rPh sb="6" eb="8">
      <t>ヨウソ</t>
    </rPh>
    <phoneticPr fontId="1"/>
  </si>
  <si>
    <t>語源にもとづいた説明</t>
    <phoneticPr fontId="1"/>
  </si>
  <si>
    <t>&lt;span class="w"&gt;&lt;b&gt;【1276.hierarchy：社会階層, 階級】&lt;/b&gt;&lt;/span&gt;
&lt;span class="ml"&gt;ギリシャ語に由来する語で、以下の2つの要素から成る。
&lt;span class="spacer"&gt;&lt;/span&gt;hieros（神聖な）
arkhein（支配する）
&lt;span class="spacer"&gt;&lt;/span&gt;この語の核は「神聖な権威による支配」。キリスト教において、神を頂点とする天使の階級や、教皇・司教・司祭といった教会の位階制度を指す宗教的な専門用語だった。そこから、あらゆるピラミッド型の上下関係や序列、階層構造を指して「社会階層」や「階級」といった意味になった。
&lt;div class="sample_image hierarchy"&gt;&lt;/div&gt;&lt;/span&gt;</t>
  </si>
  <si>
    <t>hieros（神聖な）＋arkhein（導く, 支配する）
hierarkhēs（聖なる儀式の指導者, 大祭司）
&lt;span class="spacer"&gt;&lt;/span&gt;hierarkhia（大祭司の支配）</t>
  </si>
  <si>
    <t>&lt;span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t>
  </si>
  <si>
    <t>&lt;span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t>
  </si>
  <si>
    <t>&lt;span class="w"&gt;&lt;b&gt;【1279.decent：ちゃんとした, まずまずの】&lt;/b&gt;&lt;/span&gt;
&lt;span class="ml"&gt;ラテン語decere（ふさわしい, 適当である）に由来する。
&lt;span class="spacer"&gt;&lt;/span&gt;この語の核は「基準からは外れていない」。世間的な基準や礼儀が適当であることから「ちゃんとした」という意味になる。また評価において、とても良いわけではないが適切ではあるということから「まずまずの, まあまあの」という意味にもなる。&lt;/span&gt;</t>
  </si>
  <si>
    <t>&lt;span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t>
  </si>
  <si>
    <t>&lt;span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t>
  </si>
  <si>
    <t>&lt;span class="w"&gt;&lt;b&gt;【1282.cosmetic：化粧の, 美容の】&lt;/b&gt;&lt;/span&gt;
&lt;span class="ml"&gt;ギリシャ語に由来する語で、以下の2つの要素から成る。
&lt;span class="spacer"&gt;&lt;/span&gt;kosmos（整えること, 秩序, 装飾）
ikos（形容詞化）
&lt;span class="spacer"&gt;&lt;/span&gt;この語の核は「整える」。古代ギリシャの人々にとって、物事が乱れなく秩序だって整っている状態こそが美しいとされていた。そこから、乱れを整えることが乱れた容姿を手入れして美しく飾ることへと発展して「化粧の, 美容の」という意味になった。
&lt;span class="spacer"&gt;&lt;/span&gt;ギリシャ語kosmosからは、英語cosmos（秩序ある美しい宇宙）も生まれている。物理的な科学的な一つにまとまったuniverseに対し、秩序ある美しく整った宇宙を表す。&lt;/span&gt;</t>
  </si>
  <si>
    <t>日本語でも使われるデリケート（繊細な）と同じ。</t>
  </si>
  <si>
    <t>&lt;span class="w"&gt;&lt;b&gt;【1283.delicate：繊細な, 扱いにくい, もろい】&lt;/b&gt;&lt;/span&gt;
&lt;span class="ml"&gt;ラテン語delicatus（ぜいたくな, 誘惑的な, 魅力的な）に由来する。
&lt;span class="spacer"&gt;&lt;/span&gt;もともとは、五感を楽しませるような心地よく魅力的なものを表した。そういったものは、粗っぽいゴツゴツしたものではなく、柔らかく洗練されているというニュアンスから、上品というイメージへと変化する。そして柔らかく洗練されていて上品なものは、同時に弱くて傷つきやすいという側面を持つことから、「繊細な, 扱いにくい, もろい」という意味へと発展した。&lt;/span&gt;</t>
  </si>
  <si>
    <t>delicatus（ぜいたくな, 誘惑的な, 魅力的な）</t>
  </si>
  <si>
    <t>delicatus（上品な, 細身の, 柔らかい）</t>
  </si>
  <si>
    <t>&lt;span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t>
  </si>
  <si>
    <t>&lt;span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t>
  </si>
  <si>
    <t>&lt;span class="w"&gt;&lt;b&gt;【1286.aesthetic：美的な, 美学の】&lt;/b&gt;&lt;/span&gt;
&lt;span class="ml"&gt;ギリシャ語に由来する語で、以下の2つの要素から成る。
&lt;span class="spacer"&gt;&lt;/span&gt;aisthanesthai（感覚や精神で知覚する, 感じる）
ikos（形容詞化）
&lt;span class="spacer"&gt;&lt;/span&gt;もとになったギリシャ語は、単なる感覚を通じた知覚に関する言葉で、美と結びついていたわけではなかった。しかし近代において、ドイツ人哲学者バウムガルテンが「感覚の学問」を提唱し、このギリシャ語を使ったことで美と結びつき、「美的な, 美学の」という意味になった。
&lt;span class="spacer"&gt;&lt;/span&gt;当時の哲学界では、理性こそが人間のもっとも優れた能力であり、錯覚を起こす感覚は劣った認識能力だと考えられていた。そこでバウムガルテンは、感覚には感覚独自のルールや価値があるはずだと考え、理性の学問＝論理学に対して、感覚の学問を提唱した。
&lt;span class="spacer"&gt;&lt;/span&gt;彼は、理性が目指す最高の状態が真理であるなら、感覚が目指す最高の状態は「美」であると考え、感覚の学問が最高の状態である美を追求する学問、すなわち「美学」へと繋がった。&lt;/span&gt;</t>
  </si>
  <si>
    <t>この語は哲学者カントの著作を翻訳したことで普及
感覚的知覚の条件を扱う学問
&lt;span class="spacer"&gt;&lt;/span&gt;1750年代
感性的認識の学（感覚を通じて物事を知る科学）
&lt;span class="spacer"&gt;&lt;/span&gt;1798年までに
感性的知覚の, 感性的知覚に関する
&lt;span class="spacer"&gt;&lt;/span&gt;1821年
美の評価に関する</t>
  </si>
  <si>
    <t>&lt;span class="w"&gt;&lt;b&gt;【1287.deliberate：故意の, 慎重な】&lt;/b&gt;&lt;/span&gt;
&lt;span class="ml"&gt;ラテン語に由来する語で、以下の2つの要素から成る。
&lt;span class="spacer"&gt;&lt;/span&gt;de（完全に）
libra（天秤）から派生したlibrare（バランスをとる）
&lt;span class="spacer"&gt;&lt;/span&gt;もともとは、天秤を使って物の重さをしっかり量ることを表した。そこから比喩的に、選択肢のメリットとデメリットを、心の中の天秤にかけてしっかりと量ることへと発展した。天秤にかけてよく考えていることから「慎重な」という意味になり、よく考えた結果の行動なので偶然ではなく「故意の」という意味になる。
&lt;div class="sample_image deliberate"&gt;&lt;/div&gt;&lt;/span&gt;</t>
  </si>
  <si>
    <t>&lt;span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t>
  </si>
  <si>
    <t>&lt;span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t>
  </si>
  <si>
    <t>1660年代、historicalから作られた別の形容詞
histric（歴史の, 歴史上の, 歴史的な）
&lt;span class="spacer"&gt;&lt;/span&gt;1851年
pre-historic（記録された歴史以前の時代に関する）</t>
  </si>
  <si>
    <t>&lt;span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t>
  </si>
  <si>
    <t>&lt;span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t>
  </si>
  <si>
    <t>&lt;span class="w"&gt;&lt;b&gt;【1292.toxic：有毒な, 中毒性の】&lt;/b&gt;&lt;/span&gt;
&lt;span class="ml"&gt;ギリシャ語に由来する語で、以下の2つの要素から成る。
&lt;span class="spacer"&gt;&lt;/span&gt;toxon（弓）
ikos（形容詞化）
&lt;span class="spacer"&gt;&lt;/span&gt;もともとは弓を表した語で、ギリシャ語にはtoxikon（弓矢の）pharmakon（毒）というフレーズがあった。そこから毒を意味していたpharmakonが省略され、本来は弓を意味していたtoxikonが毒を表すようになって「有毒の, 中毒性の」という意味になった。
&lt;div class="sample_image toxic"&gt;&lt;/div&gt;&lt;/span&gt;</t>
  </si>
  <si>
    <t>&lt;span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t>
  </si>
  <si>
    <t>*skem-（覆う, 隠す）</t>
  </si>
  <si>
    <t>実はhuman（人間）と語源が関連している。humbleのhumは、humanのhumと同じ。</t>
  </si>
  <si>
    <t>&lt;span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t>
  </si>
  <si>
    <t>pec</t>
  </si>
  <si>
    <t>uli</t>
  </si>
  <si>
    <t>&lt;span class="w"&gt;&lt;b&gt;【1296.steep：傾斜が急な】&lt;/b&gt;&lt;/span&gt;
&lt;span class="ml"&gt;古英語steap（高い, そびえ立つ, 深い, 突き出た）にさかのぼる。
&lt;span class="spacer"&gt;&lt;/span&gt;もともとは高くそびえ立つ、突き出た様子を表した。そこからその傾斜へと観点が移って「傾斜が急な」という意味になった。&lt;/span&gt;
&lt;div class="animation steep"&gt;&lt;/div&gt;</t>
  </si>
  <si>
    <t>&lt;span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t>
  </si>
  <si>
    <t>&lt;span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t>
  </si>
  <si>
    <t>&lt;span class="w"&gt;&lt;b&gt;【1299.wireless：無線の】&lt;/b&gt;&lt;/span&gt;
&lt;span class="ml"&gt;近代英語にさかのぼり、以下の2つの要素から成る。
&lt;span class="spacer"&gt;&lt;/span&gt;wire（線）
less（〜がない）
&lt;span class="spacer"&gt;&lt;/span&gt;このまま日本語にすると、線がない、つまり「無線の」という意味になる。&lt;/span&gt;</t>
  </si>
  <si>
    <t>&lt;span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t>
  </si>
  <si>
    <t>se（離れて）＋cura（注意）
securus（安全な, 心配のない）</t>
    <phoneticPr fontId="1"/>
  </si>
  <si>
    <t>&lt;span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t>
    <rPh sb="175" eb="178">
      <t>ニホンゴ</t>
    </rPh>
    <rPh sb="192" eb="195">
      <t>ジカンテキ</t>
    </rPh>
    <rPh sb="196" eb="199">
      <t>クウカンテキ</t>
    </rPh>
    <rPh sb="200" eb="201">
      <t>ナニ</t>
    </rPh>
    <rPh sb="212" eb="214">
      <t>イミ</t>
    </rPh>
    <phoneticPr fontId="1"/>
  </si>
  <si>
    <t>&lt;span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t>
    <rPh sb="180" eb="183">
      <t>ニホンゴ</t>
    </rPh>
    <rPh sb="214" eb="216">
      <t>イミ</t>
    </rPh>
    <rPh sb="224" eb="226">
      <t>ブブン</t>
    </rPh>
    <rPh sb="235" eb="236">
      <t>イ</t>
    </rPh>
    <rPh sb="237" eb="238">
      <t>ノ</t>
    </rPh>
    <rPh sb="242" eb="243">
      <t>オナ</t>
    </rPh>
    <phoneticPr fontId="1"/>
  </si>
  <si>
    <t>&lt;span class="w"&gt;&lt;b&gt;【1305.blossom：花が咲く, 発展する】&lt;/b&gt;&lt;/span&gt;
&lt;span class="ml"&gt;古英語blostma（ひとつの蕾, ひとつの花）にさかのぼる。
&lt;span class="spacer"&gt;&lt;/span&gt;実際の花から、特に果樹に関して「花が咲く」という意味になった。またそこから比喩的に、才能や魅力などが「発展する」という意味にもなった。&lt;/span&gt;</t>
    <rPh sb="133" eb="135">
      <t>ジッサイ</t>
    </rPh>
    <rPh sb="140" eb="141">
      <t>トク</t>
    </rPh>
    <rPh sb="142" eb="144">
      <t>カジュ</t>
    </rPh>
    <rPh sb="145" eb="146">
      <t>カン</t>
    </rPh>
    <rPh sb="157" eb="159">
      <t>イミ</t>
    </rPh>
    <rPh sb="175" eb="177">
      <t>サイノウ</t>
    </rPh>
    <rPh sb="178" eb="180">
      <t>ミリョク</t>
    </rPh>
    <rPh sb="192" eb="194">
      <t>イミ</t>
    </rPh>
    <phoneticPr fontId="1"/>
  </si>
  <si>
    <t>&lt;span class="w"&gt;&lt;b&gt;【1306.terrify：〜を怖がらせる】&lt;/b&gt;&lt;/span&gt;
&lt;span class="ml"&gt;ラテン語に由来する語で、以下の2つの要素から成る。
&lt;span class="spacer"&gt;&lt;/span&gt;terrere（恐れで満たす）
facere（作る, する）
&lt;span class="spacer"&gt;&lt;/span&gt;この語の核は「恐れで満ちた状態にする」。そこから対象を「怖がらせる」という意味になる。
&lt;span class="spacer"&gt;&lt;/span&gt;このterr部分は、terror（恐怖, テロ）やterrible（恐ろしい, ひどい）と同じラテン語から生まれている。&lt;/span&gt;</t>
    <rPh sb="185" eb="186">
      <t>ゴ</t>
    </rPh>
    <rPh sb="187" eb="188">
      <t>カク</t>
    </rPh>
    <rPh sb="193" eb="194">
      <t>ミ</t>
    </rPh>
    <rPh sb="196" eb="198">
      <t>ジョウタイ</t>
    </rPh>
    <rPh sb="207" eb="209">
      <t>タイショウ</t>
    </rPh>
    <rPh sb="220" eb="222">
      <t>イミ</t>
    </rPh>
    <rPh sb="261" eb="263">
      <t>ブブン</t>
    </rPh>
    <rPh sb="272" eb="274">
      <t>キョウフ</t>
    </rPh>
    <rPh sb="289" eb="290">
      <t>オソ</t>
    </rPh>
    <rPh sb="300" eb="301">
      <t>オナ</t>
    </rPh>
    <rPh sb="305" eb="306">
      <t>ゴ</t>
    </rPh>
    <rPh sb="308" eb="309">
      <t>ウ</t>
    </rPh>
    <phoneticPr fontId="1"/>
  </si>
  <si>
    <t>&lt;span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t>
    <rPh sb="84" eb="86">
      <t>カンレン</t>
    </rPh>
    <rPh sb="104" eb="106">
      <t>ユライ</t>
    </rPh>
    <rPh sb="200" eb="202">
      <t>イミ</t>
    </rPh>
    <phoneticPr fontId="1"/>
  </si>
  <si>
    <t>&lt;span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t>
    <rPh sb="193" eb="196">
      <t>シャカイテキ</t>
    </rPh>
    <rPh sb="212" eb="213">
      <t>オサ</t>
    </rPh>
    <rPh sb="219" eb="221">
      <t>イミ</t>
    </rPh>
    <phoneticPr fontId="1"/>
  </si>
  <si>
    <t>de（～から）＋capere（取る）
decipere（罠にかける, だます, 欺く）</t>
    <phoneticPr fontId="1"/>
  </si>
  <si>
    <t>&lt;span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t>
    <rPh sb="181" eb="184">
      <t>ニホンゴ</t>
    </rPh>
    <rPh sb="204" eb="206">
      <t>ヒトニギ</t>
    </rPh>
    <rPh sb="212" eb="213">
      <t>リョウ</t>
    </rPh>
    <rPh sb="214" eb="215">
      <t>アラワ</t>
    </rPh>
    <rPh sb="217" eb="218">
      <t>クスリ</t>
    </rPh>
    <rPh sb="219" eb="221">
      <t>ケイリョウ</t>
    </rPh>
    <rPh sb="221" eb="223">
      <t>タンイ</t>
    </rPh>
    <rPh sb="227" eb="228">
      <t>ツカ</t>
    </rPh>
    <rPh sb="236" eb="237">
      <t>ナニ</t>
    </rPh>
    <rPh sb="250" eb="252">
      <t>ハッテン</t>
    </rPh>
    <rPh sb="267" eb="269">
      <t>イミ</t>
    </rPh>
    <rPh sb="309" eb="311">
      <t>ブブン</t>
    </rPh>
    <rPh sb="320" eb="321">
      <t>テ</t>
    </rPh>
    <rPh sb="324" eb="329">
      <t>トリアツカイセツメイショ</t>
    </rPh>
    <rPh sb="331" eb="334">
      <t>テビキショ</t>
    </rPh>
    <rPh sb="336" eb="341">
      <t>ソウサテジュンショ</t>
    </rPh>
    <rPh sb="348" eb="349">
      <t>オナ</t>
    </rPh>
    <rPh sb="352" eb="353">
      <t>テ</t>
    </rPh>
    <rPh sb="355" eb="357">
      <t>イミ</t>
    </rPh>
    <rPh sb="362" eb="363">
      <t>オボ</t>
    </rPh>
    <phoneticPr fontId="1"/>
  </si>
  <si>
    <t>manus（手）＋plere（満たす）
manipulus（ひと握り）
manipule（薬の計量でひと握り）</t>
    <rPh sb="47" eb="49">
      <t>ケイリョウ</t>
    </rPh>
    <phoneticPr fontId="1"/>
  </si>
  <si>
    <t>1730年代
鉱石を掘り出す方法
&lt;span class="spacer"&gt;&lt;/span&gt;1826年までに
物体を巧みに扱うこと
&lt;span class="spacer"&gt;&lt;/span&gt;1827年
手で巧みに扱う
&lt;span class="spacer"&gt;&lt;/span&gt;1864年までに
人為的に操る
&lt;span class="spacer"&gt;&lt;/span&gt;1870年から
相場などを操作する</t>
    <phoneticPr fontId="1"/>
  </si>
  <si>
    <t>&lt;span class="w"&gt;&lt;b&gt;【1311.starve：飢える, 〜を飢えさせる】&lt;/b&gt;&lt;/span&gt;
&lt;span class="ml"&gt;古英語steorfan（死ぬ）にさかのぼる。
&lt;span class="spacer"&gt;&lt;/span&gt;もともとはdieのように、一般的に死ぬことを表したが、そこから寒さや飢えでで死ぬことへと限定されていった。さらにそこから、本来持っていた死ぬというニュアンスが失われていって「飢える, 飢えさせる」という意味になった。
&lt;span class="spacer"&gt;&lt;/span&gt;飢え死にすると言う場合は、starve to deathというようにdeathを使わなければならない。&lt;/span&gt;</t>
  </si>
  <si>
    <t>&lt;span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t>
  </si>
  <si>
    <t>&lt;span class="w"&gt;&lt;b&gt;【1313.whisper：ささやく】&lt;/b&gt;&lt;/span&gt;
&lt;span class="ml"&gt;古英語hwisprian（非常に静かに話す, ささやく）にさかのぼる。
&lt;span class="spacer"&gt;&lt;/span&gt;古英語からほとんど意味の変化はない。おそらく根本には、ヒューやスーといった息が漏れる音やかすれる音があると考えられる。現代ではwhの綴りになっているが、古英語ではhwの順番で、最初の「フ」という音から始まるところにもささやきの息遣いが現れている。&lt;/span&gt;</t>
  </si>
  <si>
    <t>&lt;span class="w"&gt;&lt;b&gt;【1314.yell：叫ぶ, どなる】&lt;/b&gt;&lt;/span&gt;
&lt;span class="ml"&gt;古英語giellan / gellan（鋭く大きな声で叫ぶ）にさかのぼる。
&lt;span class="spacer"&gt;&lt;/span&gt;古英語からの意味はほとんどない。日本語のエールは、この語から生まれた日本独自のもの。応援のエールが持つ大声を出すイメージから「叫ぶ, どなる」という意味を覚える。&lt;/span&gt;</t>
  </si>
  <si>
    <t>&lt;span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t>
  </si>
  <si>
    <t>&lt;span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t>
  </si>
  <si>
    <t>&lt;span class="w"&gt;&lt;b&gt;【1317.swing：〜を揺らす, 振る】&lt;/b&gt;&lt;/span&gt;
&lt;span class="ml"&gt;古英語swingan（むち打つ, 身を投げる, 勢いよく動く）にさかのぼる。
&lt;span class="spacer"&gt;&lt;/span&gt;もともとは、むちを打つという攻撃的な動きを表したが、次第に対象に当たることよりも、空中で弧を描いて行ったり来たりする運動そのものを表すようになった。そこから、固定された一点を軸に振り子のように「揺らす, 振る」という意味になった。&lt;/span&gt;</t>
  </si>
  <si>
    <t>&lt;span class="w"&gt;&lt;b&gt;【1318.prolong：〜を延長する】&lt;/b&gt;&lt;/span&gt;
&lt;span class="ml"&gt;ラテン語に由来する語で、以下の2つの要素から成る。
&lt;span class="spacer"&gt;&lt;/span&gt;pro（前へ）
longus（長い）
&lt;span class="spacer"&gt;&lt;/span&gt;このまま日本語にすると「前へ長くする」となる。そこから時間的に前方へ伸ばす、つまり「延長する」という意味になる。&lt;/span&gt;</t>
  </si>
  <si>
    <t>&lt;span class="w"&gt;&lt;b&gt;【1319.depict：〜を描く】&lt;/b&gt;&lt;/span&gt;
&lt;span class="ml"&gt;ラテン語に由来する語で、以下の2つの要素から成る。
&lt;span class="spacer"&gt;&lt;/span&gt;de（下に）
pingere（描く）
&lt;span class="spacer"&gt;&lt;/span&gt;このまま日本語にすると「下に描く」となる。pict部分はpictureやpaintと同じラテン語から生まれており、もともとは絵の具で描き出すことを表した。そこから意味が広がって、絵だけではなく言葉や映像などで「描く」という意味になった。&lt;/span&gt;</t>
  </si>
  <si>
    <t>&lt;span class="w"&gt;&lt;b&gt;【1320.outline：〜の要点を述べる, 〜の輪郭を描く】&lt;/b&gt;&lt;/span&gt;
&lt;span class="ml"&gt;近代英語にさかのぼり、以下の2つの要素から成る。
&lt;span class="spacer"&gt;&lt;/span&gt;out（外側に）
line（線を引く）
&lt;span class="spacer"&gt;&lt;/span&gt;絵を描く際に、対象の外側を囲む線を引くことから「輪郭を描く」という意味になった。
&lt;span class="spacer"&gt;&lt;/span&gt;また対象の輪郭を描くことが、細かい部分を省いて対象の全体像を示すことへとつながって、物事の「要点を述べる」という意味にもなった。&lt;/span&gt;</t>
  </si>
  <si>
    <t>&lt;span class="w"&gt;&lt;b&gt;【1321.shed：〜を捨て去る, 光を放つ, 血や涙を流す】&lt;/b&gt;&lt;/span&gt;
&lt;span class="ml"&gt;古英語scadan（分ける, 切り離す, 撒き散らす）にさかのぼる。
&lt;span class="spacer"&gt;&lt;/span&gt;この語の核は「一体となっているものからある部分を切り離す」。そこから文脈に応じて、以下のように日本語にすればよい。
体から血や涙を「流す」
葉っぱや毛が「落ちる」
体重を「落とす」
光や影響などを「放つ」
不要なものを「捨て去る」
&lt;div class="sample_image shed"&gt;&lt;/div&gt;&lt;/span&gt;</t>
  </si>
  <si>
    <t>&lt;span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t>
  </si>
  <si>
    <t>&lt;span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t>
  </si>
  <si>
    <t>&lt;span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t>
  </si>
  <si>
    <t>&lt;span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t>
  </si>
  <si>
    <t>&lt;span class="w"&gt;&lt;b&gt;【1327.strive：努力する】&lt;/b&gt;&lt;/span&gt;
&lt;span class="ml"&gt;古フランス語estrif（喧嘩, 争い）に由来する。
&lt;span class="spacer"&gt;&lt;/span&gt;もともとは喧嘩や争いを表す語だったが、その際のもがき戦うイメージから、困難や目標に向かって「努力する」という意味になった。
&lt;span class="spacer"&gt;&lt;/span&gt;語源的な争いという意味は、名詞strifeに残っている。&lt;/span&gt;</t>
  </si>
  <si>
    <t>&lt;span class="w"&gt;&lt;b&gt;【1328.dare：あえて（思い切って）〜する, 〜を挑発する】&lt;/b&gt;&lt;/span&gt;
&lt;span class="ml"&gt;古英語durran（十分に大胆である, 勇気がある, あえて〜する, 思い切って〜する）にさかのぼる。
&lt;span class="spacer"&gt;&lt;/span&gt;この語の核は「恐ろしさや危険を承知で何かをする勇気がある」。そこから「あえて〜する, 思い切って〜する」という意味になる。
&lt;span class="spacer"&gt;&lt;/span&gt;&lt;strong&gt;［dare to do］&lt;/strong&gt;
これは、恐れや危険を超えて何かをすることを表して「思い切って〜する」となる。だから否定文don't dare to doになると「怖くて〜できない」といったニュアンスになる。
&lt;span class="spacer"&gt;&lt;/span&gt;&lt;strong&gt;［助動詞的：dare do］&lt;/strong&gt;
① How dare you say that?
どうやったら恐れや危険を超えてそんなことを言う勇気があるの？
＝よくもそんなこと言えるね。
② Don’t you dare touch it.
恐れや危険を超えてそれに触るなんてするな。
＝絶対にそれに触るな。
&lt;span class="spacer"&gt;&lt;/span&gt;&lt;strong&gt;［S dare O to do］&lt;/strong&gt;
SがOに恐れや危険を超えて〜する方へけしかける&lt;/span&gt;</t>
  </si>
  <si>
    <t>1570年代
相手が意気地なしだと示して挑発する
&lt;span class="spacer"&gt;&lt;/span&gt;1630年代
はっきりと挑発する</t>
  </si>
  <si>
    <t>&lt;span class="w"&gt;&lt;b&gt;【1329.boast：〜を誇る（誇りとして持つ）, 〜を自慢する】&lt;/b&gt;&lt;/span&gt;
&lt;span class="ml"&gt;原始ゲルマン語*bausia（膨らむ, 膨らませる）にさかのぼる。
&lt;span class="spacer"&gt;&lt;/span&gt;この語は、物理的にパンパンに膨らむという状態が、人間の態度が高慢に膨れ上がる＝ふんぞり返るという比喩へと変化して「自慢する」という意味になった。
&lt;span class="spacer"&gt;&lt;/span&gt;また自慢できるものを持っていることから、ビジネスや観光案内の文脈などで「〜を誇る, 誇りとして持つ」という意味にもなった。
Our city boasts a beautiful park.
私たちの街には（誇れる）美しい公園があります。
&lt;div class="sample_image boast"&gt;&lt;/div&gt;&lt;/span&gt;</t>
  </si>
  <si>
    <t>原始ゲルマン語</t>
  </si>
  <si>
    <t>*bausia（膨らむ, 膨らませる）</t>
  </si>
  <si>
    <t>&lt;span class="w"&gt;&lt;b&gt;【1330.startle：〜をぎょっとさせる, 〜をびっくりさせる】&lt;/b&gt;&lt;/span&gt;
&lt;span class="ml"&gt;古英語にさかのぼり、以下の2つの要素から成る。
&lt;span class="spacer"&gt;&lt;/span&gt;*steortian（跳び上がる）
le（反復を表す）
&lt;span class="spacer"&gt;&lt;/span&gt;start部分は、現代英語start（始める）の語源。もともとは始めるという意味はなく、跳び上がるという瞬間的な動作を表していた。これは陸上競技で、ピストルの合図とともに一斉に走り出すイメージに近い。
&lt;span class="spacer"&gt;&lt;/span&gt;startに反復を表すleが付くことで、跳ね上がることを繰り返す、つまり跳び回るという動きを表した。これが、突然の物音や予期せぬ出来事に対してビクッと反射的に跳ね上がるという、驚きの感情を伴う動作へとつながり、相手を「ぎょっとさせる, びっくりさせる」という意味になった。
&lt;div class="sample_image startle"&gt;&lt;/div&gt;&lt;/span&gt;</t>
  </si>
  <si>
    <t>&lt;span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t>
  </si>
  <si>
    <t>&lt;span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t>
  </si>
  <si>
    <t>&lt;span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t>
  </si>
  <si>
    <t>&lt;span class="w"&gt;&lt;b&gt;【1334.worsen：〜を悪化させる, 悪化する】&lt;/b&gt;&lt;/span&gt;
&lt;span class="ml"&gt;中英語にさかのぼり、以下の2つの要素から成る。
&lt;span class="spacer"&gt;&lt;/span&gt;werse（より悪い）
en（動詞化）
&lt;span class="spacer"&gt;&lt;/span&gt;これはworse（より悪い）を動詞化したものなので「悪化させる, 悪化する」という意味になる。&lt;/span&gt;</t>
  </si>
  <si>
    <t>&lt;span class="w"&gt;&lt;b&gt;【1335.flip：〜を裏返す, 〜を軽く弾く】&lt;/b&gt;&lt;/span&gt;
&lt;span class="ml"&gt;近代英語にさかのぼり、裏返すときや弾くときの音を表現したか、もしくはflap（パタパタ動かす）からの派生と考えられる。フリップは日本語の「パッ」に近いイメージ。
&lt;div class="sample_image flip"&gt;&lt;/div&gt;&lt;/span&gt;</t>
  </si>
  <si>
    <t>&lt;span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t>
  </si>
  <si>
    <t>&lt;span class="w"&gt;&lt;b&gt;【1337.descend：降りる, 受け継がれる】&lt;/b&gt;&lt;/span&gt;
&lt;span class="ml"&gt;ラテン語に由来する語で、以下の2つの要素から成る。
&lt;span class="spacer"&gt;&lt;/span&gt;de（下に）
scandere（登る）
&lt;span class="spacer"&gt;&lt;/span&gt;このまま日本語にすると「下に登る」となる。物理的な上から下への移動を表して「降りる」という意味になる。また時間的・血縁的な下への移動も表し、何かが「受け継がれる」という意味にもなる。
&lt;div class="sample_image descend"&gt;&lt;/div&gt;&lt;/span&gt;</t>
  </si>
  <si>
    <t>&lt;span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t>
  </si>
  <si>
    <t>&lt;span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t>
  </si>
  <si>
    <t>&lt;span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t>
  </si>
  <si>
    <t>&lt;span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t>
  </si>
  <si>
    <t>日本語でも使われるオーソドクスと関連させて覚える。
orthos（まっすぐな, 正しい）
doxa（一般的な意見）
orthodox（まっすぐ一般的な意見に沿う, オーソドクス, 正統な, 伝統的な）</t>
  </si>
  <si>
    <t>&lt;span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t>
  </si>
  <si>
    <t>para（反する）＋doxa（一般的な意見）
paradoxos（予想に反する, 信じがたい）
paradoxon（信じがたい意見）</t>
  </si>
  <si>
    <t>&lt;span class="w"&gt;&lt;b&gt;【1345.parliament：（英国などの）議会】&lt;/b&gt;&lt;/span&gt;
&lt;span class="ml"&gt;古フランス語に由来する語で、以下の2つの要素から成る。
&lt;span class="spacer"&gt;&lt;/span&gt;parler（話す）
ment（名詞化）
&lt;span class="spacer"&gt;&lt;/span&gt;この語の核は「話すこと」。イギリスにおいて、国王、貴族、聖職者などが国政について話し合うための最高諮問会議を指す公式な用語として使われるようになり、現在の「議会」という意味になった。&lt;/span&gt;</t>
  </si>
  <si>
    <t>parler（話す）
&lt;span class="spacer"&gt;&lt;/span&gt;名詞を作る-mentが付いて
parlement（話すこと, 会話）</t>
  </si>
  <si>
    <t>&lt;span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t>
  </si>
  <si>
    <t>&lt;span class="w"&gt;&lt;b&gt;【1348.mainstream：主流】&lt;/b&gt;&lt;/span&gt;
&lt;span class="ml"&gt;近代英語にさかのぼり、以下の2つの要素から成る。
&lt;span class="spacer"&gt;&lt;/span&gt;main（主要な）
stream（流れ）
&lt;span class="spacer"&gt;&lt;/span&gt;このまま日本語にすると「主要な流れ」つまり「主流」という意味になる。
&lt;span class="spacer"&gt;&lt;/span&gt;stream（流れ）は、インターネットを通じたストリーミング再生という言葉にも使われる。ストリーミング再生とは、音楽や映像データをすべてダウンロードした後に再生するのではなく、川が絶えず流れるようにデータを少しずつ受信しながら同時に再生することをいう。&lt;/span&gt;</t>
  </si>
  <si>
    <t>&lt;span class="w"&gt;&lt;b&gt;【1349.troop：複数形で軍隊, 集団】&lt;/b&gt;&lt;/span&gt;
&lt;span class="ml"&gt;古フランス語trope（人々の群れ, 軍隊, 群衆）に由来する。
&lt;span class="spacer"&gt;&lt;/span&gt;この語の核は「規律にもとづいて行動する集団」。そこから軍事において「軍隊」や、一般的に何かの「集団」という意味になる。
&lt;div class="sample_image troop"&gt;&lt;/div&gt;&lt;/span&gt;</t>
  </si>
  <si>
    <t>&lt;span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t>
  </si>
  <si>
    <t>&lt;span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t>
  </si>
  <si>
    <t>&lt;span class="w"&gt;&lt;b&gt;【1352.chaos：混沌, 大混乱】&lt;/b&gt;&lt;/span&gt;
&lt;span class="ml"&gt;ギリシャ語khaos（深淵, ぽっかり開いたもの, 空虚）に由来する。
&lt;span class="spacer"&gt;&lt;/span&gt;もともとは深淵やぽっかり空いた空間を表した。ギリシャ神話においては、宇宙や万物が形成される前の、形のない空っぽの暗黒状態を指す言葉として使われ、それがキリスト教の聖書における、天地創造の前の混沌とした世界に対しても使われるようになった。
&lt;span class="spacer"&gt;&lt;/span&gt;そこから一般的に秩序のないぐちゃぐちゃな状態、すなわち「混沌, 大混乱」という意味になった。&lt;/span&gt;</t>
  </si>
  <si>
    <t>&lt;span class="w"&gt;&lt;b&gt;【1353.nightmare：悪夢】&lt;/b&gt;&lt;/span&gt;
&lt;span class="ml"&gt;中英語にさかのぼり、以下の2つの要素から成る。
&lt;span class="spacer"&gt;&lt;/span&gt;night（夜）
mare（悪霊）
&lt;span class="spacer"&gt;&lt;/span&gt;もともとは、夜、寝ている人に窒息感を与えて苦しめる悪霊を指したが、次第にそのときに見る「悪夢」を意味するようになった。&lt;/span&gt;</t>
  </si>
  <si>
    <t>&lt;span class="w"&gt;&lt;b&gt;【1354.horror：恐怖】&lt;/b&gt;&lt;/span&gt;
&lt;span class="ml"&gt;ラテン語horrere（恐怖で身震いする, 身の毛がよだつ）に由来する。
&lt;span class="spacer"&gt;&lt;/span&gt;身震いする、身の毛がよだつという恐れる感覚から「恐怖」という意味になった。日本語でも使われるホラーと同じ。&lt;/span&gt;</t>
  </si>
  <si>
    <t>コロナウイルスが蔓延した際に頻繁に使われたクラスター感染（集団感染）と関連させて覚える。</t>
  </si>
  <si>
    <t>&lt;span class="w"&gt;&lt;b&gt;【1355.cluster：集団, （植物の）房, 束】&lt;/b&gt;&lt;/span&gt;
&lt;span class="ml"&gt;古英語clyster（自然に一緒に生えているものの集まり）にさかのぼる。
&lt;span class="spacer"&gt;&lt;/span&gt;もともとは、植物の一部が密集して生えている、果実が密集して実っている様子を表す言葉だった。そこから植物の「房」という意味になった。
&lt;span class="spacer"&gt;&lt;/span&gt;さらに植物に限らず、星や人、動物、物など、同種のものが密に集まっている状態全般を指し、何かの「集団」という意味にもなった。
&lt;div class="sample_image cluster"&gt;&lt;/div&gt;&lt;/span&gt;</t>
  </si>
  <si>
    <t>&lt;span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t>
  </si>
  <si>
    <t>&lt;span class="w"&gt;&lt;b&gt;【1357.hive：ミツバチの巣, 人が集まって活発に動くところ】&lt;/b&gt;&lt;/span&gt;
&lt;span class="ml"&gt;印欧祖語*keup-（丸い容器）にさかのぼる。
&lt;span class="spacer"&gt;&lt;/span&gt;この印欧祖語からはcupも生まれており、この語の核は「丸い容器」。そこからミツバチが住んでいるドーム型の丸い巣＝「ミツバチの巣」という意味になった。
&lt;span class="spacer"&gt;&lt;/span&gt;さらにミツバチの巣では、ミツバチが忙しなく動き回っていることから、比喩的に「人が集まって活発に動くところ」という意味にもなった。&lt;/span&gt;</t>
  </si>
  <si>
    <t>&lt;span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t>
  </si>
  <si>
    <t>&lt;span class="w"&gt;&lt;b&gt;【1361.feast：祝宴, ごちそう】&lt;/b&gt;&lt;/span&gt;
&lt;span class="ml"&gt;ラテン語festus（お祭りの, 喜ばしい）に由来する。
&lt;span class="spacer"&gt;&lt;/span&gt;もともとは、宗教的な祝日やお祭り、そこで出される豪華な食事を表す語だった。そこから時代が下るにつれて宗教的なニュアンスが薄まり、純粋に「祝宴」や「ごちそう」という意味になった。
&lt;span class="spacer"&gt;&lt;/span&gt;ラテン語festus（お祭りの, 喜ばしい）からは、英語festival（祭, フェスティバル）も生まれている。feastは、festivalのお祭りというイメージと関連させて覚えるとよい。&lt;/span&gt;</t>
    <rPh sb="170" eb="171">
      <t>クダ</t>
    </rPh>
    <phoneticPr fontId="1"/>
  </si>
  <si>
    <t>&lt;span class="w"&gt;&lt;b&gt;【1362.cuisine：（ある国や文化特有の）料理】&lt;/b&gt;&lt;/span&gt;
&lt;span class="ml"&gt;ラテン語coquere（料理する）に由来する。
&lt;span class="spacer"&gt;&lt;/span&gt;もともとは料理する行為を表した。しかしそこから、調理された食事や料理のやり方を表すようになり、特定の地域やレストラン、独自のスタイルの「料理」という意味になった。
&lt;span class="spacer"&gt;&lt;/span&gt;ラテン語coquere（料理する）からはbiscuit（ビスケット）も生まれている。bisは「2」を、cuitは「料理する（ここでは焼く）」を意味する。つまりビスケットは、2度焼かれたものという意味。&lt;/span&gt;</t>
    <rPh sb="94" eb="96">
      <t>ユライ</t>
    </rPh>
    <rPh sb="137" eb="139">
      <t>コウイ</t>
    </rPh>
    <rPh sb="140" eb="141">
      <t>アラワ</t>
    </rPh>
    <rPh sb="167" eb="168">
      <t>アラワ</t>
    </rPh>
    <rPh sb="202" eb="204">
      <t>イミ</t>
    </rPh>
    <rPh sb="241" eb="242">
      <t>ゴ</t>
    </rPh>
    <rPh sb="273" eb="274">
      <t>ウ</t>
    </rPh>
    <rPh sb="295" eb="297">
      <t>リョウリ</t>
    </rPh>
    <rPh sb="304" eb="305">
      <t>ヤ</t>
    </rPh>
    <rPh sb="309" eb="311">
      <t>イミ</t>
    </rPh>
    <rPh sb="325" eb="326">
      <t>ド</t>
    </rPh>
    <rPh sb="326" eb="327">
      <t>ヤ</t>
    </rPh>
    <rPh sb="335" eb="337">
      <t>イミ</t>
    </rPh>
    <phoneticPr fontId="1"/>
  </si>
  <si>
    <t>&lt;span class="w"&gt;&lt;b&gt;【1363.rumor：うわさ】&lt;/b&gt;&lt;/span&gt;
&lt;span class="ml"&gt;ラテン語rumor（物音, 世間話, うわさ）に由来する。
&lt;span class="spacer"&gt;&lt;/span&gt;もともとは周囲の物音を表したが、そのザワザワ・ガヤガヤする感じが、人々の間で話が広がっていく様子と結びついて「うわさ」という意味になった。
&lt;div class="sample_image rumor"&gt;&lt;/div&gt;&lt;/span&gt;</t>
    <rPh sb="88" eb="90">
      <t>ユライ</t>
    </rPh>
    <rPh sb="130" eb="132">
      <t>モノオト</t>
    </rPh>
    <rPh sb="133" eb="134">
      <t>アラワ</t>
    </rPh>
    <rPh sb="151" eb="152">
      <t>カン</t>
    </rPh>
    <rPh sb="168" eb="170">
      <t>ヨウス</t>
    </rPh>
    <rPh sb="171" eb="172">
      <t>ムス</t>
    </rPh>
    <rPh sb="184" eb="186">
      <t>イミ</t>
    </rPh>
    <phoneticPr fontId="1"/>
  </si>
  <si>
    <t>&lt;span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t>
    <rPh sb="172" eb="175">
      <t>ニホンゴ</t>
    </rPh>
    <rPh sb="224" eb="225">
      <t>マエ</t>
    </rPh>
    <rPh sb="226" eb="227">
      <t>ダ</t>
    </rPh>
    <rPh sb="230" eb="232">
      <t>コトバ</t>
    </rPh>
    <rPh sb="233" eb="234">
      <t>サ</t>
    </rPh>
    <rPh sb="284" eb="285">
      <t>サ</t>
    </rPh>
    <phoneticPr fontId="1"/>
  </si>
  <si>
    <t>&lt;span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t>
    <rPh sb="150" eb="153">
      <t>メイシカ</t>
    </rPh>
    <rPh sb="193" eb="194">
      <t>ダレ</t>
    </rPh>
    <rPh sb="216" eb="217">
      <t>ナニ</t>
    </rPh>
    <rPh sb="219" eb="220">
      <t>シルシ</t>
    </rPh>
    <rPh sb="224" eb="226">
      <t>コウイ</t>
    </rPh>
    <rPh sb="231" eb="232">
      <t>アラワ</t>
    </rPh>
    <rPh sb="238" eb="240">
      <t>シダイ</t>
    </rPh>
    <rPh sb="241" eb="242">
      <t>シルシ</t>
    </rPh>
    <rPh sb="253" eb="255">
      <t>ケッカ</t>
    </rPh>
    <rPh sb="258" eb="259">
      <t>ノコ</t>
    </rPh>
    <rPh sb="262" eb="263">
      <t>シルシ</t>
    </rPh>
    <rPh sb="263" eb="265">
      <t>ジタイ</t>
    </rPh>
    <rPh sb="267" eb="269">
      <t>ショウテン</t>
    </rPh>
    <rPh sb="270" eb="271">
      <t>ウツ</t>
    </rPh>
    <rPh sb="273" eb="275">
      <t>ブンショ</t>
    </rPh>
    <rPh sb="276" eb="278">
      <t>ホンモノ</t>
    </rPh>
    <rPh sb="299" eb="301">
      <t>イミ</t>
    </rPh>
    <rPh sb="337" eb="339">
      <t>ショメイ</t>
    </rPh>
    <rPh sb="342" eb="343">
      <t>ヒト</t>
    </rPh>
    <rPh sb="346" eb="347">
      <t>カ</t>
    </rPh>
    <rPh sb="350" eb="352">
      <t>コユウ</t>
    </rPh>
    <rPh sb="353" eb="354">
      <t>シルシ</t>
    </rPh>
    <rPh sb="363" eb="365">
      <t>イミ</t>
    </rPh>
    <rPh sb="366" eb="368">
      <t>ハッテン</t>
    </rPh>
    <rPh sb="371" eb="373">
      <t>トクテイ</t>
    </rPh>
    <rPh sb="374" eb="375">
      <t>ヒト</t>
    </rPh>
    <rPh sb="376" eb="377">
      <t>モノ</t>
    </rPh>
    <rPh sb="378" eb="380">
      <t>ショウチョウ</t>
    </rPh>
    <rPh sb="386" eb="388">
      <t>キワダ</t>
    </rPh>
    <rPh sb="391" eb="393">
      <t>トクチョウ</t>
    </rPh>
    <rPh sb="397" eb="399">
      <t>イミ</t>
    </rPh>
    <phoneticPr fontId="1"/>
  </si>
  <si>
    <t>&lt;span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t>
    <rPh sb="96" eb="97">
      <t>アラワ</t>
    </rPh>
    <rPh sb="132" eb="135">
      <t>ニホンゴ</t>
    </rPh>
    <rPh sb="176" eb="177">
      <t>アラワ</t>
    </rPh>
    <rPh sb="182" eb="183">
      <t>ガタ</t>
    </rPh>
    <rPh sb="228" eb="229">
      <t>キ</t>
    </rPh>
    <rPh sb="251" eb="253">
      <t>イミ</t>
    </rPh>
    <phoneticPr fontId="1"/>
  </si>
  <si>
    <t>&lt;span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t>
    <rPh sb="175" eb="178">
      <t>ニホンゴ</t>
    </rPh>
    <rPh sb="219" eb="220">
      <t>ミズ</t>
    </rPh>
    <rPh sb="221" eb="223">
      <t>ショクモツ</t>
    </rPh>
    <rPh sb="225" eb="228">
      <t>セッシュリョウ</t>
    </rPh>
    <rPh sb="232" eb="234">
      <t>イミ</t>
    </rPh>
    <phoneticPr fontId="1"/>
  </si>
  <si>
    <t>&lt;span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t>
    <rPh sb="155" eb="158">
      <t>メイシカ</t>
    </rPh>
    <rPh sb="192" eb="195">
      <t>ニホンゴ</t>
    </rPh>
    <rPh sb="200" eb="201">
      <t>ミ</t>
    </rPh>
    <rPh sb="210" eb="211">
      <t>カク</t>
    </rPh>
    <rPh sb="373" eb="375">
      <t>イミ</t>
    </rPh>
    <rPh sb="430" eb="431">
      <t>ヒロ</t>
    </rPh>
    <rPh sb="441" eb="442">
      <t>ヒカリ</t>
    </rPh>
    <rPh sb="443" eb="444">
      <t>オト</t>
    </rPh>
    <rPh sb="458" eb="460">
      <t>サマザマ</t>
    </rPh>
    <rPh sb="461" eb="463">
      <t>モノゴト</t>
    </rPh>
    <rPh sb="468" eb="470">
      <t>ソンザイ</t>
    </rPh>
    <rPh sb="479" eb="481">
      <t>イミ</t>
    </rPh>
    <phoneticPr fontId="1"/>
  </si>
  <si>
    <t>&lt;span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t>
  </si>
  <si>
    <t>&lt;span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t>
  </si>
  <si>
    <t>dignus（価値ある, ふさわしい）
&lt;span class="spacer"&gt;&lt;/span&gt;名詞を作る-tasが付いて
dignitas（価値, 威厳, 名誉）</t>
  </si>
  <si>
    <t>&lt;span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t>
  </si>
  <si>
    <t>&lt;span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t>
  </si>
  <si>
    <t>agere（行う, 駆り立てる）
&lt;span class="spacer"&gt;&lt;/span&gt;動形容詞agendus（行われるべき）
&lt;span class="spacer"&gt;&lt;/span&gt;agenda（行われるべき事柄）</t>
  </si>
  <si>
    <t>&lt;span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t>
  </si>
  <si>
    <t>&lt;span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t>
  </si>
  <si>
    <t>&lt;span class="w"&gt;&lt;b&gt;【1370.kidney：腎臓】&lt;/b&gt;&lt;/span&gt;
&lt;span class="ml"&gt;語源不明だが、古英語の以下の2つの要素から成る可能性がある。
&lt;span class="spacer"&gt;&lt;/span&gt;cwið（子宮, 腹部）
ey（卵）
&lt;span class="spacer"&gt;&lt;/span&gt;「腎臓」がある場所（腹部）と、その形状（たまご型）に由来していると考えられる。
&lt;div class="sample_image kidney"&gt;&lt;/div&gt;&lt;/span&gt;</t>
  </si>
  <si>
    <t>日本語でもキャンプギア（キャンプ器具）やスポーツギア（スポーツ用品）などで使われる。</t>
  </si>
  <si>
    <t>&lt;span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t>
  </si>
  <si>
    <t>&lt;span class="w"&gt;&lt;b&gt;【1372.aisle：（座席や棚などの間の）通路】&lt;/b&gt;&lt;/span&gt;
&lt;span class="ml"&gt;ラテン語ala（翼, 脇）に由来する。
&lt;span class="spacer"&gt;&lt;/span&gt;もともとは翼を表したが、そこから翼のように両脇にあるものを表すようになった。主に建築用語として使われ、建物の中央から左右に張り出した部分＝教会の両脇にある側廊を指した。
&lt;div class="sample_image side_aisle"&gt;&lt;/div&gt;
&lt;span class="spacer"&gt;&lt;/span&gt;その後、別の単語alley（小道）と混同されたことで、教会の座席の間の通路を指すようになった。そしてさらに教会に限定されず、一般的に両側に座席や棚などがある「通路」という意味に拡大した。
&lt;div class="sample_image aisle"&gt;&lt;/div&gt;
&lt;span class="spacer"&gt;&lt;/span&gt;［aisleのスペルの変遷］
ラテン語：ala
フランス語：ele
英語：ele / ile
　isle（島）と混同されてsが挿入
英語：isle
　フランス語aileの影響でaが付く
英語：aisle&lt;/span&gt;</t>
  </si>
  <si>
    <t>&lt;span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t>
  </si>
  <si>
    <t>&lt;span class="w"&gt;&lt;b&gt;【1375.skull：頭蓋骨】&lt;/b&gt;&lt;/span&gt;
&lt;span class="ml"&gt;古ノルド語skalli（頭蓋骨）に由来する。
&lt;span class="spacer"&gt;&lt;/span&gt;古ノルド語から意味の変化はほとんどない。&lt;/span&gt;</t>
  </si>
  <si>
    <t>一般的なお墓graveに対し、tombは歴史的なもの（ピラミッドや古墳など）や神聖なもの（石碑）などの大げさな感じ。</t>
  </si>
  <si>
    <t>&lt;span class="w"&gt;&lt;b&gt;【1376.tomb：墓】&lt;/b&gt;&lt;/span&gt;
&lt;span class="ml"&gt;ギリシャ語tymbos（塚, 墓）に由来する。
&lt;span class="spacer"&gt;&lt;/span&gt;ギリシャ語から意味の変化はほとんどない。印欧祖語*teue-（膨らむ）にさかのぼる可能性があり、そうであれば、土が盛られて膨らんでいる様子から生まれた語だと考えられる。この印欧祖語からは、太くて膨らみのあるthumb（親指）も生まれている。
&lt;div class="sample_image tomb"&gt;&lt;/div&gt;&lt;/span&gt;</t>
  </si>
  <si>
    <t>&lt;span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t>
  </si>
  <si>
    <t>munuc（修道士）
&lt;span class="spacer"&gt;&lt;/span&gt;宗教的な信心や義務を実践するために結成された、男性の共同体や友愛会の会員であり、特定の誓願によって拘束される者</t>
  </si>
  <si>
    <t>&lt;span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t>
  </si>
  <si>
    <t>&lt;span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t>
  </si>
  <si>
    <t>&lt;span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t>
  </si>
  <si>
    <t>&lt;span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t>
  </si>
  <si>
    <t>&lt;span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t>
  </si>
  <si>
    <t>dis（離れて）+pendere（ぶら下がる, 量る）
dispendare（支払う, 分配する, 管理する）
&lt;span class="spacer"&gt;&lt;/span&gt;反復形dispensare</t>
  </si>
  <si>
    <t>dispendere / dispensare
教会用語で、禁止行為を行う許可や義務の免除の許可を与える
法的用語で、罰からの免除や法律からの免除を与える
&lt;span class="spacer"&gt;&lt;/span&gt;形容詞を作る-bilis（～できる）が付いて
dispensabilis（免除できる, 省略可能な）
&lt;span class="spacer"&gt;&lt;/span&gt;in（否定）が付いて
indispensabilis（免除できない）</t>
  </si>
  <si>
    <t>&lt;span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t>
  </si>
  <si>
    <t>&lt;span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t>
  </si>
  <si>
    <t>&lt;span class="w"&gt;&lt;b&gt;【1387.obscure：不明瞭な, 世に知られていない】&lt;/b&gt;&lt;/span&gt;
&lt;span class="ml"&gt;ラテン語に由来する語で、以下の2つの要素から成る。
&lt;span class="spacer"&gt;&lt;/span&gt;ob（～の上に）
scurus（覆われた）
&lt;span class="spacer"&gt;&lt;/span&gt;このまま日本語にすると「何かの上に覆われた」となる。物理的に何かに覆われていて、光や視界が遮られていることから転じて、表に出ておらず「世に知られていない」や、はっきりしていなくて「不明瞭な」という意味になった。
&lt;div class="sample_image obscure"&gt;&lt;/div&gt;&lt;/span&gt;</t>
  </si>
  <si>
    <t>&lt;span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t>
  </si>
  <si>
    <t>&lt;span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t>
  </si>
  <si>
    <t>histanai / statos（立たせる, 天秤で計量する）
&lt;span class="spacer"&gt;&lt;/span&gt;形容詞を作る-ikosが付いて
statikos（立たせる性質のある, 計量に長けた）</t>
  </si>
  <si>
    <t>&lt;span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t>
  </si>
  <si>
    <t>&lt;span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t>
  </si>
  <si>
    <t>&lt;span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t>
  </si>
  <si>
    <t>&lt;span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t>
  </si>
  <si>
    <t>in（〜に向けて）+parare（準備する, 整える）
imperare（命令する, 支配する）
&lt;span class="spacer"&gt;&lt;/span&gt;名詞を作る-iumが付いて
imperium（命令, 支配, 支配領域, 帝国）
&lt;span class="spacer"&gt;&lt;/span&gt;形容詞を作る-alisが付いて
imperialis（帝国の, 皇帝の）</t>
  </si>
  <si>
    <t>&lt;span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t>
  </si>
  <si>
    <t>&lt;span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t>
  </si>
  <si>
    <t>&lt;span class="w"&gt;&lt;b&gt;【1397.scarce：乏しい, 不足している, まれな】&lt;/b&gt;&lt;/span&gt;
&lt;span class="ml"&gt;ラテン語に由来する語で、以下の2つの要素から成る。
&lt;span class="spacer"&gt;&lt;/span&gt;ex（外に）
carpere（摘む）
&lt;span class="spacer"&gt;&lt;/span&gt;もともとは、何かを外へ摘み取ることを表した。そこから、摘み取られてしまって本来あるはずのものが減ってしまった状態を表すようになり、「乏しい, 不足している, まれな」という意味になった。
&lt;div class="sample_image scarce"&gt;&lt;/div&gt;&lt;/span&gt;</t>
    <rPh sb="32" eb="33">
      <t>トボ</t>
    </rPh>
    <rPh sb="37" eb="39">
      <t>フソク</t>
    </rPh>
    <rPh sb="81" eb="82">
      <t>ゴ</t>
    </rPh>
    <rPh sb="185" eb="186">
      <t>ナニ</t>
    </rPh>
    <rPh sb="188" eb="189">
      <t>ソト</t>
    </rPh>
    <rPh sb="190" eb="191">
      <t>ツ</t>
    </rPh>
    <rPh sb="192" eb="193">
      <t>ト</t>
    </rPh>
    <rPh sb="197" eb="198">
      <t>アラワ</t>
    </rPh>
    <rPh sb="206" eb="207">
      <t>ツ</t>
    </rPh>
    <rPh sb="208" eb="209">
      <t>ト</t>
    </rPh>
    <rPh sb="216" eb="218">
      <t>ホンライ</t>
    </rPh>
    <rPh sb="226" eb="227">
      <t>ヘ</t>
    </rPh>
    <rPh sb="233" eb="235">
      <t>ジョウタイ</t>
    </rPh>
    <rPh sb="236" eb="237">
      <t>アラワ</t>
    </rPh>
    <rPh sb="245" eb="246">
      <t>トボ</t>
    </rPh>
    <rPh sb="250" eb="252">
      <t>フソク</t>
    </rPh>
    <rPh sb="265" eb="267">
      <t>イミ</t>
    </rPh>
    <phoneticPr fontId="1"/>
  </si>
  <si>
    <t>国内総生産GDPと関連させて覚える。
Gross：総
Domestic：国内の
Product：生産</t>
    <rPh sb="0" eb="5">
      <t>コクナイソウセイサン</t>
    </rPh>
    <rPh sb="9" eb="11">
      <t>カンレン</t>
    </rPh>
    <rPh sb="14" eb="15">
      <t>オボ</t>
    </rPh>
    <phoneticPr fontId="1"/>
  </si>
  <si>
    <t>&lt;span class="w"&gt;&lt;b&gt;【1398.gross：総計の, 全体の, 不快な, （程度が）ひどい】&lt;/b&gt;&lt;/span&gt;
&lt;span class="ml"&gt;ラテン語grossus（粗い, 厚い, 大きい）
&lt;span class="spacer"&gt;&lt;/span&gt;この語の核は「粗い」。
&lt;span class="spacer"&gt;&lt;/span&gt;物理的に粗いということから、細かくなくておおざっぱであるというニュアンスへ発展し、細かく分けていない全体量を指して「全体の, 総計の」という意味になった。
&lt;span class="spacer"&gt;&lt;/span&gt;また粗いということから、洗練されていなくて下品というニュアンスへ発展し、気持ちが悪くて「不快な」という意味になった。
&lt;span class="spacer"&gt;&lt;/span&gt;さらに、粗くて正確さを欠くということから、適切な基準や範囲から大きく外れることを表すようになり、その逸脱の大きさを強調して「ひどい」という意味になった。&lt;/span&gt;</t>
    <rPh sb="31" eb="33">
      <t>ソウケイ</t>
    </rPh>
    <rPh sb="36" eb="38">
      <t>ゼンタイ</t>
    </rPh>
    <rPh sb="41" eb="43">
      <t>フカイ</t>
    </rPh>
    <rPh sb="47" eb="49">
      <t>テイド</t>
    </rPh>
    <rPh sb="87" eb="88">
      <t>ゴ</t>
    </rPh>
    <rPh sb="100" eb="101">
      <t>アツ</t>
    </rPh>
    <rPh sb="104" eb="105">
      <t>オオ</t>
    </rPh>
    <rPh sb="139" eb="140">
      <t>ゴ</t>
    </rPh>
    <rPh sb="141" eb="142">
      <t>カク</t>
    </rPh>
    <rPh sb="144" eb="145">
      <t>アラ</t>
    </rPh>
    <rPh sb="177" eb="180">
      <t>ブツリテキ</t>
    </rPh>
    <rPh sb="181" eb="182">
      <t>アラ</t>
    </rPh>
    <rPh sb="191" eb="192">
      <t>コマ</t>
    </rPh>
    <rPh sb="214" eb="216">
      <t>ハッテン</t>
    </rPh>
    <rPh sb="218" eb="219">
      <t>コマ</t>
    </rPh>
    <rPh sb="221" eb="222">
      <t>ワ</t>
    </rPh>
    <rPh sb="227" eb="230">
      <t>ゼンタイリョウ</t>
    </rPh>
    <rPh sb="231" eb="232">
      <t>サ</t>
    </rPh>
    <rPh sb="235" eb="237">
      <t>ゼンタイ</t>
    </rPh>
    <rPh sb="240" eb="242">
      <t>ソウケイ</t>
    </rPh>
    <rPh sb="247" eb="249">
      <t>イミ</t>
    </rPh>
    <rPh sb="285" eb="286">
      <t>アラ</t>
    </rPh>
    <rPh sb="295" eb="297">
      <t>センレン</t>
    </rPh>
    <rPh sb="304" eb="306">
      <t>ゲヒン</t>
    </rPh>
    <rPh sb="315" eb="317">
      <t>ハッテン</t>
    </rPh>
    <rPh sb="319" eb="321">
      <t>キモ</t>
    </rPh>
    <rPh sb="323" eb="324">
      <t>ワル</t>
    </rPh>
    <rPh sb="327" eb="329">
      <t>フカイ</t>
    </rPh>
    <rPh sb="334" eb="336">
      <t>イミ</t>
    </rPh>
    <phoneticPr fontId="1"/>
  </si>
  <si>
    <t>1510年代、詳細ではなくおおざっぱなという意味から
全体の, 総計の
&lt;span class="spacer"&gt;&lt;/span&gt;1530年代、粗いという意味から
粗野な</t>
    <rPh sb="4" eb="6">
      <t>ネンダイ</t>
    </rPh>
    <rPh sb="27" eb="29">
      <t>ゼンタイ</t>
    </rPh>
    <rPh sb="32" eb="34">
      <t>ソウケイ</t>
    </rPh>
    <rPh sb="68" eb="70">
      <t>ネンダイ</t>
    </rPh>
    <rPh sb="81" eb="83">
      <t>ソヤ</t>
    </rPh>
    <phoneticPr fontId="1"/>
  </si>
  <si>
    <t>&lt;span class="w"&gt;&lt;b&gt;【1399.inherent：本来的に備わっている】&lt;/b&gt;&lt;/span&gt;
&lt;span class="ml"&gt;ラテン語に由来する語で、以下の2つの要素から成る。
&lt;span class="spacer"&gt;&lt;/span&gt;in（中に）
haerere（くっつく, 付着する）
&lt;span class="spacer"&gt;&lt;/span&gt;このまま日本語にすると「中にくっつく」となる。最初から内部にくっついていて切り離せない状態であることから、「本来的に備わっている」という意味になる。&lt;/span&gt;</t>
    <rPh sb="34" eb="37">
      <t>ホンライテキ</t>
    </rPh>
    <rPh sb="38" eb="39">
      <t>ソナ</t>
    </rPh>
    <rPh sb="77" eb="78">
      <t>ゴ</t>
    </rPh>
    <rPh sb="187" eb="190">
      <t>ニホンゴ</t>
    </rPh>
    <rPh sb="195" eb="196">
      <t>ナカ</t>
    </rPh>
    <rPh sb="206" eb="208">
      <t>サイショ</t>
    </rPh>
    <rPh sb="210" eb="212">
      <t>ナイブ</t>
    </rPh>
    <rPh sb="220" eb="221">
      <t>キ</t>
    </rPh>
    <rPh sb="222" eb="223">
      <t>ハナ</t>
    </rPh>
    <rPh sb="226" eb="228">
      <t>ジョウタイ</t>
    </rPh>
    <rPh sb="237" eb="240">
      <t>ホンライテキ</t>
    </rPh>
    <rPh sb="241" eb="242">
      <t>ソナ</t>
    </rPh>
    <rPh sb="251" eb="253">
      <t>イミ</t>
    </rPh>
    <phoneticPr fontId="1"/>
  </si>
  <si>
    <t>&lt;span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t>
    <rPh sb="33" eb="35">
      <t>チュウモク</t>
    </rPh>
    <rPh sb="40" eb="42">
      <t>チョメイ</t>
    </rPh>
    <rPh sb="76" eb="77">
      <t>ゴ</t>
    </rPh>
    <rPh sb="136" eb="138">
      <t>ハセイ</t>
    </rPh>
    <rPh sb="205" eb="208">
      <t>ニホンゴ</t>
    </rPh>
    <rPh sb="213" eb="214">
      <t>シルシ</t>
    </rPh>
    <rPh sb="229" eb="230">
      <t>シルシ</t>
    </rPh>
    <rPh sb="243" eb="245">
      <t>タイショウ</t>
    </rPh>
    <rPh sb="246" eb="247">
      <t>ホカ</t>
    </rPh>
    <rPh sb="251" eb="253">
      <t>クベツ</t>
    </rPh>
    <rPh sb="255" eb="257">
      <t>チュウイ</t>
    </rPh>
    <rPh sb="258" eb="259">
      <t>ム</t>
    </rPh>
    <rPh sb="261" eb="263">
      <t>カチ</t>
    </rPh>
    <rPh sb="277" eb="279">
      <t>チュウモク</t>
    </rPh>
    <rPh sb="286" eb="288">
      <t>イミ</t>
    </rPh>
    <rPh sb="398" eb="401">
      <t>キョウカショ</t>
    </rPh>
    <rPh sb="402" eb="404">
      <t>ジュウヨウ</t>
    </rPh>
    <rPh sb="405" eb="407">
      <t>カショ</t>
    </rPh>
    <rPh sb="408" eb="410">
      <t>フセン</t>
    </rPh>
    <rPh sb="416" eb="417">
      <t>シルシ</t>
    </rPh>
    <rPh sb="438" eb="439">
      <t>シルシ</t>
    </rPh>
    <rPh sb="447" eb="449">
      <t>チュウモク</t>
    </rPh>
    <rPh sb="463" eb="464">
      <t>メ</t>
    </rPh>
    <rPh sb="465" eb="466">
      <t>ム</t>
    </rPh>
    <rPh sb="471" eb="472">
      <t>ホカ</t>
    </rPh>
    <rPh sb="473" eb="475">
      <t>カショ</t>
    </rPh>
    <rPh sb="478" eb="479">
      <t>ミ</t>
    </rPh>
    <rPh sb="483" eb="484">
      <t>シ</t>
    </rPh>
    <phoneticPr fontId="1"/>
  </si>
  <si>
    <t>&lt;span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t>
  </si>
  <si>
    <t>&lt;span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t>
  </si>
  <si>
    <t>&lt;span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t>
  </si>
  <si>
    <t>&lt;span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t>
  </si>
  <si>
    <t>&lt;span class="w"&gt;&lt;b&gt;【1402.refresh：気分をさわやかにする, 記憶などを新たにする】&lt;/b&gt;&lt;/span&gt;
&lt;span class="ml"&gt;古フランス語に由来する語で、以下の2つの要素から成る。
&lt;span class="spacer"&gt;&lt;/span&gt;re（再び）
fresche（新鮮な）
&lt;span class="spacer"&gt;&lt;/span&gt;この語の核は「再び新鮮にする」。そこから「気分をさわやかにする」や、記憶を「新たにする」、「ネットのページを更新する」といった意味になる。&lt;/span&gt;</t>
  </si>
  <si>
    <t>&lt;span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t>
  </si>
  <si>
    <t>&lt;span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t>
  </si>
  <si>
    <t>&lt;span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t>
  </si>
  <si>
    <t>&lt;span class="w"&gt;&lt;b&gt;【1407.spray：〜を吹きかける】&lt;/b&gt;&lt;/span&gt;
&lt;span class="ml"&gt;中世オランダ語sprayen（散布する）に由来する。
&lt;span class="spacer"&gt;&lt;/span&gt;中世オランダ語から意味の変化はほとんどない。また日本語でも使われるスプレーのイメージ通りの意味。&lt;/span&gt;</t>
  </si>
  <si>
    <t>&lt;span class="w"&gt;&lt;b&gt;【1410.scratch：〜を引っ掻く, 〜を取り消す】&lt;/b&gt;&lt;/span&gt;
&lt;span class="ml"&gt;中英語scracchen（引っ掻く）にさかのぼる。
&lt;span class="spacer"&gt;&lt;/span&gt;物理的に表面を「引っ掻く」だけではなく、表面を削って消すイメージから何かを「取り消す」という意味にもなる。&lt;/span&gt;</t>
  </si>
  <si>
    <t>&lt;span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t>
  </si>
  <si>
    <t>&lt;span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t>
  </si>
  <si>
    <t>&lt;span class="w"&gt;&lt;b&gt;【1413.sigh：ため息をつく】&lt;/b&gt;&lt;/span&gt;
&lt;span class="ml"&gt;古英語
sican（ため息をつく）の過去形sighte
&lt;span class="spacer"&gt;&lt;/span&gt;古英語から意味の変化はほとんどない。おそらくため息の「はぁ」という音を表した語。&lt;/span&gt;</t>
  </si>
  <si>
    <t>&lt;span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t>
  </si>
  <si>
    <t>&lt;span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t>
  </si>
  <si>
    <t>&lt;span class="w"&gt;&lt;b&gt;【1416.navigate：航行する, 操縦する, 誘導する, 進んでいく, 切り抜ける】&lt;/b&gt;&lt;/span&gt;
&lt;span class="ml"&gt;ラテン語に由来する語で、以下の2つの要素から成る。
&lt;span class="spacer"&gt;&lt;/span&gt;navis（船）
agere（動かす）
&lt;span class="spacer"&gt;&lt;/span&gt;もともとは、地図を見つつ船を動かして目的地まで進むことを表した。この語で重要なイメージは「複雑で迷いやすい海の中で、現在地を把握し、目的の方向へうまく舵を切って進んで行く」。そのイメージから様々な意味に発展していった。
&lt;span class="spacer"&gt;&lt;/span&gt;①船・飛行機・宇宙船などで「航行する」
&lt;span class="spacer"&gt;&lt;/span&gt;②船で進むときのように「操縦する」
&lt;span class="spacer"&gt;&lt;/span&gt;③船を導くように目的（地）へ「誘導する」
&lt;span class="spacer"&gt;&lt;/span&gt;④荒波を超える際に上手に船を操るように、困難な状況や難しい人間関係を「切り抜ける」
&lt;span class="spacer"&gt;&lt;/span&gt;navigateの核となるイメージをもとに文脈で訳を考えればよい。&lt;/span&gt;</t>
  </si>
  <si>
    <t>&lt;span class="w"&gt;&lt;b&gt;【1417.beg：〜に切に頼む, 懇願する】&lt;/b&gt;&lt;/span&gt;
&lt;span class="ml"&gt;中英語にさかのぼるが、それ以前の語源は正確にはわかっていない。中英語では、施しを求める・物乞いをすることを表した。自分にないものを他者に必死に求めることから、広い意味で相手に対して何かを「切に願う, 懇願する」という行為を指すようになった。
&lt;div class="sample_image beg"&gt;&lt;/div&gt;&lt;/span&gt;</t>
  </si>
  <si>
    <t>habit（習慣）, habitat（生息地）, inhabitant（居住者）と関連させて覚える。</t>
  </si>
  <si>
    <t>&lt;span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t>
  </si>
  <si>
    <t>語源にもとづいた説明</t>
  </si>
  <si>
    <t>印欧祖語*gno-（知る）系の語。</t>
  </si>
  <si>
    <t>&lt;span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t>
  </si>
  <si>
    <t>&lt;span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t>
  </si>
  <si>
    <t>&lt;span class="w"&gt;&lt;b&gt;【699.tropical：熱帯の】&lt;/b&gt;&lt;/span&gt;
&lt;span class="ml"&gt;ギリシャ語に由来し、以下の3つの要素から成る。
&lt;span class="spacer"&gt;&lt;/span&gt;tropē（回転）
ikos（形容詞化）
&lt;span class="obsolete"&gt;al（形容詞化）は英語段階で付いた&lt;/span&gt;
&lt;span class="spacer"&gt;&lt;/span&gt;この「回転」は天文学の用語として使われた言葉。夏至や冬至の日に、太陽が天球上で最も北（または最も南）に達し、そこから再び反対方向へ向きを変えて回っていくように見える現象、およびその地点を指していた。
&lt;span class="spacer"&gt;&lt;/span&gt;ここから、地理学において、太陽が地面に対して90度の位置を通過する北限と南限のラインを、北回帰線（Tropic of Cancer）・南回帰線（Tropic of Capricorn）と呼ぶようになった。
&lt;span class="spacer"&gt;&lt;/span&gt;この2つの回帰線（Tropics）に挟まれた地域は、地球上で最も日差しが直角に近く当たり、暑い気候になる。そこから、回帰線の内側を指す言葉として「熱帯の」という意味になった。
&lt;span class="spacer"&gt;&lt;/span&gt;下の図で説明すると、地球から見ると太陽は黄道を周回しているように見える。このルートの最も上の位置が夏至点、最も下の位置が冬至点。
&lt;span class="spacer"&gt;&lt;/span&gt;太陽が夏至点にあるとき、太陽光を表すオレンジ色の線がぶつかる地点に立っている人は、ちょうど頭の真上（地面から90度）の位置に太陽が見える。
&lt;span class="spacer"&gt;&lt;/span&gt;その地点より北の場所にいる人は、真上ではなく少し角度がついてしまう（冬至点の場合はその反対で、太陽光がぶつかる地点よりも南の場所では太陽が真上に来ない）。
&lt;span class="spacer"&gt;&lt;/span&gt;この地面から90度の位置を太陽が通過するエリアが緑の範囲で、そこを「熱帯」と呼ぶ。&lt;/span&gt;
&lt;div class="animation tropic"&gt;&lt;/div&gt;</t>
    <phoneticPr fontId="1"/>
  </si>
  <si>
    <t>&lt;span class="w"&gt;&lt;b&gt;【1408.retrieve：情報を取り出す（検索する）, 〜を取り戻す, 〜を回復する】&lt;/b&gt;&lt;/span&gt;
&lt;span class="ml"&gt;古フランス語に由来する語で、以下の2つの要素から成る。
&lt;span class="spacer"&gt;&lt;/span&gt;re（再び）
trouver（見つける）
&lt;span class="spacer"&gt;&lt;/span&gt;このまま日本語にすると「再び見つける」となる。失くしたもの、離れたものをもう一度手にすることから、何かを元のところに「取り戻す」、失敗やマイナスを「回復する」、保存された情報を手元に「取り出す（検索する）」などの意味になる。
&lt;span class="spacer"&gt;&lt;/span&gt;犬種のレトリーバーはretrieve＋erが由来。狩猟で仕留めた獲物を取って戻ることからretrieverという名前になった。
&lt;div class="sample_image retrieve"&gt;&lt;/div&gt;&lt;/span&gt;</t>
  </si>
  <si>
    <t>&lt;span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t>
  </si>
  <si>
    <t>&lt;span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t>
  </si>
  <si>
    <t>&lt;span class="w"&gt;&lt;b&gt;【1422.cram：〜に詰め込む, 詰め込み勉強をする】&lt;/b&gt;&lt;/span&gt;
&lt;span class="ml"&gt;古英語crammian（何かを別のものに押し込む）にさかのぼる。
&lt;span class="spacer"&gt;&lt;/span&gt;物理的に何かを押し込むことから、収容できる量を超えて「詰め込む」という意味になる。
&lt;span class="spacer"&gt;&lt;/span&gt;また比喩的に、短期間で頭の中に知識を詰め込むような「詰め込み勉強をする」という意味になる。知識を詰め込む学習塾のことをa cram schoolと言う。&lt;/span&gt;</t>
  </si>
  <si>
    <t>folk（人々）と関連する可能性がある語。folkは人の集まりを表し、flockも人や動物の集まりを表す。</t>
  </si>
  <si>
    <t>&lt;span class="w"&gt;&lt;b&gt;【1423.flock：群がる, 集まる】&lt;/b&gt;&lt;/span&gt;
&lt;span class="ml"&gt;古英語flocc（人々の集まり, 仲間）に由来する。
&lt;span class="spacer"&gt;&lt;/span&gt;もともとは人々の集まりを表していたが、そこから人や動物、家畜の集まりへと広がった。名詞としては鳥や羊などの「群れ」を意味し、動詞では人（や動物）が「群れる, 集まる」という意味になった。&lt;/span&gt;</t>
  </si>
  <si>
    <t>estimateは関連語を参照。</t>
  </si>
  <si>
    <t>&lt;span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t>
  </si>
  <si>
    <t>&lt;span class="w"&gt;&lt;b&gt;【1425.clarify：〜を明確にする】&lt;/b&gt;&lt;/span&gt;
&lt;span class="ml"&gt;ラテン語に由来する語で、以下の2つの要素から成る。
&lt;span class="spacer"&gt;&lt;/span&gt;clarus（明るい, はっきりした）
facere（作る, 行う）
&lt;span class="spacer"&gt;&lt;/span&gt;このまま日本語にすると「はっきりさせる」すなわち「明確にする」となる。ラテン語clarusは、英語clearの語源でもあるので、clear（明確な）＋fy（する）とイメージすればよい。&lt;/span&gt;</t>
  </si>
  <si>
    <t>&lt;span class="w"&gt;&lt;b&gt;【1426.spark：〜を引き起こす, 〜を刺激する】&lt;/b&gt;&lt;/span&gt;
&lt;span class="ml"&gt;古英語spearca（燃える木や熱せられた鉄などから飛び散る火花）にさかのぼる。
&lt;span class="spacer"&gt;&lt;/span&gt;物理的な火花から、何かを発火させるように「刺激する」、そして刺激して何かを「引き起こす」という意味になった。
&lt;div class="sample_image spark"&gt;&lt;/div&gt;&lt;/span&gt;</t>
  </si>
  <si>
    <t>&lt;span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t>
  </si>
  <si>
    <t>&lt;span class="w"&gt;&lt;b&gt;【1428.soar：急上昇する, 空高く飛ぶ】&lt;/b&gt;&lt;/span&gt;
&lt;span class="ml"&gt;ラテン語に由来する語で、以下の2つの要素から成る。
&lt;span class="spacer"&gt;&lt;/span&gt;ex（外に）
aura（空気）
&lt;span class="spacer"&gt;&lt;/span&gt;このまま日本語にすると「どこかから外へ出て空中へ」となる。空気中を上がっていくことから「空高く飛ぶ」という意味になった。
&lt;span class="spacer"&gt;&lt;/span&gt;また、その勢いのある上方向への動きから比喩的に、価格・気温・人気など様々なものが「急上昇する」という意味にもなった。
&lt;div class="sample_image soar"&gt;&lt;/div&gt;&lt;/span&gt;</t>
  </si>
  <si>
    <t>&lt;span class="w"&gt;&lt;b&gt;【1429.glow：光輝く, 赤く輝く, 紅潮する】&lt;/b&gt;&lt;/span&gt;
&lt;span class="ml"&gt;古英語glowan（熱や光を放つ, 赤く輝く）にさかのぼる。
&lt;span class="spacer"&gt;&lt;/span&gt;この語のイメージは、ホタルや内部に熱を帯びた金属、炭などのように、やわらかく温かな光を放つ感じ。そこからぼんやり「光輝く, 赤く輝く」という意味になる。
&lt;span class="spacer"&gt;&lt;/span&gt;また内側から自然に輝くことから比喩的に、顔や肌などが「紅潮する, 火照る, 輝く」といった意味にもなる。
&lt;span class="spacer"&gt;&lt;/span&gt;英語のglで始まる語には、光や視覚に関連する語がいくつかある。いずれも印欧祖語*ghel-（輝く）にさかのぼる。
glance（ちらっと見る, ひと目）
gold（金）
glass（ガラス）&lt;/span&gt;</t>
  </si>
  <si>
    <t>&lt;span class="w"&gt;&lt;b&gt;【1430.disguise：〜を変装させる, 〜を偽る】&lt;/b&gt;&lt;/span&gt;
&lt;span class="ml"&gt;古フランス語に由来する語で、以下の2つの要素から成る。
&lt;span class="spacer"&gt;&lt;/span&gt;des（離れて）
guise（方法, 外見）
&lt;span class="spacer"&gt;&lt;/span&gt;この語の核は「本来の外見から離れさせる」。そこから正体を隠すために「変装する」という意味になった。
&lt;span class="spacer"&gt;&lt;/span&gt;また外見を変えることから発展して、自分の本当の気持ちや物事の真実を「隠す」という意味にもなった。
&lt;div class="sample_image disguise"&gt;&lt;/div&gt;
&lt;span class="spacer"&gt;&lt;/span&gt;disguiseのguise部分は外見や方法を意味するが、これは、likewise（同様に, 同じ方法で）やotherwise（さもなければ, 他の方法で）のwiseと同じ語源にさかのぼる。ここからdisguiseは、本来の方法や外見（guise）から離す（dis）と覚えてもよい。&lt;/span&gt;</t>
  </si>
  <si>
    <t>&lt;span class="w"&gt;&lt;b&gt;【1431.distort：〜を歪める, 歪む】&lt;/b&gt;&lt;/span&gt;
&lt;span class="ml"&gt;ラテン語に由来する語で、以下の2つの要素から成る。
&lt;span class="spacer"&gt;&lt;/span&gt;dis（完全に）
torquere（ねじる, トルク）
&lt;span class="spacer"&gt;&lt;/span&gt;このまま日本語にすると「完全にねじる」となる。そこから物理的な形状や、事実・認識、映像・音声などに関して「歪める, 歪む」という意味になる。
&lt;div class="sample_image distort"&gt;&lt;/div&gt;&lt;/span&gt;</t>
  </si>
  <si>
    <t>&lt;span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t>
  </si>
  <si>
    <t>&lt;span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t>
  </si>
  <si>
    <t>&lt;span class="w"&gt;&lt;b&gt;【1434.strip：〜を取り去る】&lt;/b&gt;&lt;/span&gt;
&lt;span class="ml"&gt;古英語-striepan（略奪する, 奪い取る）にさかのぼる。
&lt;span class="spacer"&gt;&lt;/span&gt;力ではぎ取るイメージから、何かを「取り去る」という意味になった。&lt;/span&gt;</t>
  </si>
  <si>
    <t>&lt;span class="w"&gt;&lt;b&gt;【1436.dump：〜を投棄する, 〜をどさっと捨てる, 〜をどさっと置く】&lt;/b&gt;&lt;/span&gt;
&lt;span class="ml"&gt;中英語にさかのぼる。
&lt;span class="spacer"&gt;&lt;/span&gt;この語の核は「何かを力任せに投げ下ろす」。そこから大量に荷を下ろす、荷車などを傾けて中身を落とすことへと発展し、何かを「投棄する, どさっと捨てる, 〜をどさっと置く」という意味になった。
&lt;span class="spacer"&gt;&lt;/span&gt;日本語のダンプカー（荷台を傾けて土砂やゴミなどをドサっと捨てる車, dump truck）と関連させて覚える。
&lt;div class="sample_image dump"&gt;&lt;/div&gt;&lt;/span&gt;</t>
  </si>
  <si>
    <t>&lt;span class="w"&gt;&lt;b&gt;【1437.weave：〜を織る, （物語や計画など）を作る】&lt;/b&gt;&lt;/span&gt;
&lt;span class="ml"&gt;古英語wefan（糸を交差させて形作る, 織物を織る, 考案する）にさかのぼる。
&lt;span class="spacer"&gt;&lt;/span&gt;物理的な「織る」だけではなく、比喩的に編み物のように物語や計画を「作る」という意味にもなる。
&lt;span class="spacer"&gt;&lt;/span&gt;weaveは、web（クモの巣, インターネットのウェブ）と同じ印欧祖語にさかのぼるため、関連させて覚えるとよい。&lt;/span&gt;</t>
  </si>
  <si>
    <t>&lt;span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t>
  </si>
  <si>
    <t>&lt;span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t>
  </si>
  <si>
    <t>&lt;span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t>
  </si>
  <si>
    <t>&lt;span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t>
  </si>
  <si>
    <t>&lt;span class="w"&gt;&lt;b&gt;【1442.internship：実務研修, 医学研修, 研修期間】&lt;/b&gt;&lt;/span&gt;
&lt;span class="ml"&gt;近代英語にさかのぼり、以下の2つの要素から成る。
&lt;span class="spacer"&gt;&lt;/span&gt;intern（研修医, 実習生）
ship（〜の状態）
&lt;span class="spacer"&gt;&lt;/span&gt;internは、ラテン語internus（内部の）に由来する。もともとは病院内に住み込んで実地訓練を受ける見習い医師（研修医）を指し、それに-ship（〜の状態）が付くことで、研修医である状態や期間を表した。
&lt;span class="spacer"&gt;&lt;/span&gt;そこから研修医に限らず、ビジネスや教育など様々な分野で実践訓練を受ける学生や見習いを指すようになって「実務研修, 医学研修, 研修期間」という意味になった。&lt;/span&gt;</t>
  </si>
  <si>
    <t>日本語のコンセントは日本語特有のもので、英語ではoutlet（socket）なので注意。</t>
  </si>
  <si>
    <t>&lt;span class="w"&gt;&lt;b&gt;【1443.outlet：直売店, 特売店, はけ口, コンセント】&lt;/b&gt;&lt;/span&gt;
&lt;span class="ml"&gt;中英語にさかのぼり、以下の2つの要素から成る。
&lt;span class="spacer"&gt;&lt;/span&gt;out（外へ）
let（許す, 放す）
&lt;span class="spacer"&gt;&lt;/span&gt;この語の核は「外へ放つところ」。ここから様々な意味になる。
&lt;span class="spacer"&gt;&lt;/span&gt;感情やエネルギーなどの「はけ口」
電気を流す「コンセント」
型落ち品や在庫を安く売る「アウトレット店」
&lt;div class="sample_image outlet"&gt;&lt;/div&gt;&lt;/span&gt;</t>
  </si>
  <si>
    <t>&lt;span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t>
  </si>
  <si>
    <t>&lt;span class="w"&gt;&lt;b&gt;【1445.pill：錠剤, 丸薬】&lt;/b&gt;&lt;/span&gt;
&lt;span class="ml"&gt;ラテン語に由来する語で、以下の2つの要素から成る。
&lt;span class="spacer"&gt;&lt;/span&gt;pila（玉）
ula（小さいことを表す）
&lt;span class="spacer"&gt;&lt;/span&gt;このまま日本語にすると「小さい玉」となる。もともとは「丸薬」を意味したが、そこから丸い形状に限らず「錠剤」という意味になった。&lt;/span&gt;</t>
  </si>
  <si>
    <t>&lt;span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t>
  </si>
  <si>
    <t>&lt;span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t>
  </si>
  <si>
    <t>&lt;span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t>
  </si>
  <si>
    <t>&lt;span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t>
  </si>
  <si>
    <t>&lt;span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
&lt;div class="sample_image dye"&gt;&lt;/div&gt;&lt;/span&gt;</t>
    <phoneticPr fontId="1"/>
  </si>
  <si>
    <t>&lt;span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liberales（自由人の学芸＝リベラル・アーツ）と呼び、そこからliberalは「一般教養の」という意味になった。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t>
  </si>
  <si>
    <t>&lt;span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t>
  </si>
  <si>
    <t>&lt;span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t>
  </si>
  <si>
    <t>&lt;span class="w"&gt;&lt;b&gt;【1449.dairy：乳製品, 酪農業, 乳製品を売る場所, 酪農場】&lt;/b&gt;&lt;/span&gt;
&lt;span class="ml"&gt;中英語にさかのぼり、以下の2つの要素から成る。
&lt;span class="spacer"&gt;&lt;/span&gt;daie（酪農場のメイド, 牛の搾乳を行う人）
erie（場所を示す）
&lt;span class="spacer"&gt;&lt;/span&gt;中英語daie（酪農場のメイド）のもとになったのは、古英語dæge（パンをこねる人, メイド）という語。
&lt;span class="spacer"&gt;&lt;/span&gt;当時の生活においてパン作りは家事の重要な一部であり、やがてこの語はパン作りだけではなく、農場や邸宅で家事全般を行う女性の召使い（メイド）を指すようになった。
&lt;span class="spacer"&gt;&lt;/span&gt;時代が進むにつれて、メイドの主な仕事として、牛の乳搾りや、牛乳からバターやチーズを作る作業が定着していく。その結果daieは酪農場のメイドを指すようになった。
&lt;span class="spacer"&gt;&lt;/span&gt;このdaieに場所を示すerieが付くことで、メイドが働く場所である「酪農場」という意味になった。
&lt;span class="spacer"&gt;&lt;/span&gt;そこからさらに意味が広がり、酪農場で作られる「乳製品」そのものや、産業としての「酪農業」、そして「乳製品を売る場所」といった意味になった。&lt;/span&gt;</t>
  </si>
  <si>
    <t>&lt;span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t>
  </si>
  <si>
    <t>&lt;span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t>
  </si>
  <si>
    <t>&lt;span class="w"&gt;&lt;b&gt;【1453.funeral：葬式】&lt;/b&gt;&lt;/span&gt;
&lt;span class="ml"&gt;ラテン語に由来する語で、以下の2つの要素から成る。
&lt;span class="spacer"&gt;&lt;/span&gt;funus（葬儀, 葬式, 葬列）
alis（形容詞化）
&lt;span class="spacer"&gt;&lt;/span&gt;ラテン語からほとんど意味の変化はない。もともとは形容詞だったが、おそらくfuneral service（葬式のサービス）などの短縮によってfuneralのみで「葬式」という意味になった。&lt;/span&gt;</t>
  </si>
  <si>
    <t>&lt;span class="w"&gt;&lt;b&gt;【1454.census：国勢調査】&lt;/b&gt;&lt;/span&gt;
&lt;span class="ml"&gt;ラテン語censere（評価する）から派生したcensus（全ローマ市民の名前の登録および資産評価）に由来する。
&lt;span class="spacer"&gt;&lt;/span&gt;古代ローマでは、数年ごとに市民を集め、誰がどれだけの財産を持っているか、兵役の義務を果たせるかを評価（censere）し、階級名簿が作成された。
&lt;span class="spacer"&gt;&lt;/span&gt;そこから現代の国家が行う定期的な「国勢調査」という意味で定着していった。&lt;/span&gt;</t>
  </si>
  <si>
    <t>いろいろな知識を
ぐるっと全部（cyclo, サイクロ）
中に入れた（en）
教育の（pedia）
書物（百科事典）
と覚えればよい。</t>
  </si>
  <si>
    <t>&lt;span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t>
  </si>
  <si>
    <t>en（中に）＋kyklos（円）
enkyklios（円の中の, 全体的な, 一般的な）
&lt;span class="spacer"&gt;&lt;/span&gt;これにpaideia（教育）が付いて
enkyklios paideia
円の中での教育
自由人にふさわしい学問の循環的教育
中世から近代にかけての教育の基礎となった7つの学問を修めること</t>
  </si>
  <si>
    <t>1500年頃
enkykliospaideia（一般教育）
&lt;span class="spacer"&gt;&lt;/span&gt;enkyklios paideiaという2語を1語だと誤解して「一般教育」という名詞になる</t>
  </si>
  <si>
    <t>&lt;span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t>
  </si>
  <si>
    <t>1818年、形容詞で
食用の穀物に関する
&lt;span class="spacer"&gt;&lt;/span&gt;1832年、名詞で
食用の穀物
&lt;span class="spacer"&gt;&lt;/span&gt;1899年、アメリカで
穀物から作られる朝食用の穀物加工食品, シリアル</t>
  </si>
  <si>
    <t>&lt;span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t>
  </si>
  <si>
    <t>&lt;span class="w"&gt;&lt;b&gt;【1458.patch：部分, 斑点, 布のつぎあて, 貼り薬】&lt;/b&gt;&lt;/span&gt;
&lt;span class="ml"&gt;中英語pacche（別の素材を修繕するために用いられる布の一片）にさかのぼる。
&lt;span class="spacer"&gt;&lt;/span&gt;この語の核は「表面が周囲と異なる部分」。そこから「布のつぎあて」や、周囲と異なる「部分, 区域」、「斑点, 貼り薬」などの意味になる。
&lt;div class="sample_image patch"&gt;&lt;/div&gt;&lt;/span&gt;</t>
  </si>
  <si>
    <t>rubbish：イギリス英語のごみ
trash / garbage：アメリカ英語のごみ（この両者の区別はあいまいになり、同義として使われている）</t>
  </si>
  <si>
    <t>&lt;span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t>
  </si>
  <si>
    <t>&lt;span class="w"&gt;&lt;b&gt;【1460.maze：迷路】&lt;/b&gt;&lt;/span&gt;
&lt;span class="ml"&gt;古英語*mæs（混乱, 当惑）にさかのぼる。
&lt;span class="spacer"&gt;&lt;/span&gt;もともとは頭の中の混乱や当惑を表した。そこから、意図的に人を迷わせるために作られた、複雑に入り組んだ道や構造物そのものを指すようになり、「迷路」という意味になった。
&lt;span class="spacer"&gt;&lt;/span&gt;現代では、迷路そのものから比喩的に「複雑に入り組んだもの」も意味する。
&lt;span class="spacer"&gt;&lt;/span&gt;amazeは、相手の頭が真っ白になるほど完全に混乱させることから「驚かせる」という意味になっている。amaze, mazeともに、根本には「混乱」がある。&lt;/span&gt;</t>
  </si>
  <si>
    <t>&lt;span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t>
  </si>
  <si>
    <t>&lt;span class="w"&gt;&lt;b&gt;【1463.triumph：勝利】&lt;/b&gt;&lt;/span&gt;
&lt;span class="ml"&gt;ラテン語triumphus（勝利, 成功, 勝利した将軍の祝賀行進）に由来する。
&lt;span class="spacer"&gt;&lt;/span&gt;ラテン語から意味の変化はほとんどない。もともとの核は、戦いで勝利した将軍を讃えるための凱旋式だったが、そこから「勝利」そのものを意味するようになった。&lt;/span&gt;</t>
  </si>
  <si>
    <t>&lt;span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t>
  </si>
  <si>
    <t>&lt;span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t>
  </si>
  <si>
    <t>&lt;span class="w"&gt;&lt;b&gt;【1466.sphere：領域, 球体, 天球】&lt;/b&gt;&lt;/span&gt;
&lt;span class="ml"&gt;ギリシャ語sphaira（球体）に由来する。
&lt;span class="spacer"&gt;&lt;/span&gt;この語は主に天文学用語として取り入れられ、地球を取り囲む巨大な球体である「天球」を意味した。
&lt;span class="spacer"&gt;&lt;/span&gt;&lt;span class="obsolete"&gt;当時の宇宙観（天動説）では、地球を中心にして、太陽や月、惑星がそれぞれ透明な球殻（sphere）に埋め込まれて回転していると考えられていた。&lt;/span&gt;
&lt;span class="spacer"&gt;&lt;/span&gt;そこから天文学的な用語に限定されず、広く一般的な「球体」を指すようになった。
&lt;span class="spacer"&gt;&lt;/span&gt;さらに、球という中心から全体へ広がっていく形から比喩的に、活動や知識などの「範囲」や「領域」という意味にもなった。
&lt;div class="sample_image sphere"&gt;&lt;/div&gt;&lt;/span&gt;</t>
  </si>
  <si>
    <t>この語は「郡」や「州」という意味で覚えるよりは、国の一部の地域（行政区画）として覚えればよい。</t>
  </si>
  <si>
    <t>&lt;span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t>
  </si>
  <si>
    <t>この語の核は「誰かのそばに立つこと」。以下の表現で覚えておく。
on one's behalf
on behalf of
in behalf of
「〜に代わって, 〜を代表して, 〜のために」</t>
  </si>
  <si>
    <t>&lt;span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t>
  </si>
  <si>
    <t>healfe（側：halfの語源）
&lt;span class="spacer"&gt;&lt;/span&gt;(one's) be healfe（〜の側で）
&lt;span class="obsolete"&gt;このbeは現代英語のby&lt;/span&gt;
&lt;span class="spacer"&gt;&lt;/span&gt;on (one's) healfe（〜の側で）</t>
  </si>
  <si>
    <t>&lt;span class="w"&gt;&lt;b&gt;【1470.circulation：循環, 流通, 発行部数】&lt;/b&gt;&lt;/span&gt;
&lt;span class="ml"&gt;ラテン語に由来する語で、以下の3つの要素から成る。
&lt;span class="spacer"&gt;&lt;/span&gt;circus（円, 輪）
ulus（小さいことを表す）
io（名詞化）
&lt;span class="spacer"&gt;&lt;/span&gt;この語の核は「円運動」で、circul部分は、サークル・サイクル・円を表す。
&lt;span class="spacer"&gt;&lt;/span&gt;円形にぐるぐる回る運動から、血液・空気・水などの「循環」、物・貨幣・情報などの「流通」、新聞や雑誌の流通量である「発行部数」といった意味になる。
&lt;div class="sample_image circulation"&gt;&lt;/div&gt;&lt;/span&gt;</t>
  </si>
  <si>
    <t>&lt;span class="w"&gt;&lt;b&gt;【1461.outlook：考え方, 見通し, 眺め】&lt;/b&gt;&lt;/span&gt;
&lt;span class="ml"&gt;近代英語にさかのぼり、以下の2つの要素から成る。
&lt;span class="spacer"&gt;&lt;/span&gt;out（外へ）
look（見る）
&lt;span class="spacer"&gt;&lt;/span&gt;もともとは外を見る場所、見張りの場所を表し、そこから、実際に視界に入ってくる外の「眺め」という意味になった。
&lt;span class="spacer"&gt;&lt;/span&gt;また比喩的に、自分の頭や心を通した外の世界（物事・社会）の眺め方、つまり「考え方」という意味にもなった。
&lt;span class="spacer"&gt;&lt;/span&gt;さらに、いま現在の立ち位置から未来を眺めることから、将来の「見通し」という意味にもなった。
&lt;div class="sample_image outlook"&gt;&lt;/div&gt;&lt;/span&gt;</t>
  </si>
  <si>
    <t>&lt;span class="w"&gt;&lt;b&gt;【1471.blade：刃, プロペラなどの羽, 草などの葉】&lt;/b&gt;&lt;/span&gt;
&lt;span class="ml"&gt;古英語blæd（葉, 船のオールなどの葉のような部分）にさかのぼる。
&lt;span class="spacer"&gt;&lt;/span&gt;この語の核は「葉っぱのように薄く平らで縁が鋭い板状のもの」。そこから「葉」や、葉のような形をした「刃, プロペラなどの羽」という意味になる。
&lt;div class="sample_image blade"&gt;&lt;/div&gt;&lt;/span&gt;</t>
  </si>
  <si>
    <t>&lt;span class="w"&gt;&lt;b&gt;【1472.theft：窃盗（罪）】&lt;/b&gt;&lt;/span&gt;
&lt;span class="ml"&gt;古英語þeofð（窃盗）にさかのぼる。
&lt;span class="spacer"&gt;&lt;/span&gt;古英語から意味の変化はほとんどない。英語で泥棒をthiefというが、それに抽象名詞を作る-t(h)が付いた語。&lt;/span&gt;</t>
  </si>
  <si>
    <t>&lt;span class="w"&gt;&lt;b&gt;【1473.vacuum：真空, 空虚, 掃除機】&lt;/b&gt;&lt;/span&gt;
&lt;span class="ml"&gt;ラテン語vacuus（空の, 占有されていない）に由来する。
&lt;span class="spacer"&gt;&lt;/span&gt;この語の核は「空っぽの空間」。もともとは何も存在しない「空虚」を意味したが、そこから物理学において空気のない「真空」という意味にもなった。
&lt;span class="spacer"&gt;&lt;/span&gt;また現代では、vacuum (cleaner)で「掃除機」を意味する。
&lt;span class="spacer"&gt;&lt;/span&gt;同じラテン語からはvacation（休暇）も生まれている。vacationは、仕事から離れて心身が空いている状態を表す。&lt;/span&gt;</t>
  </si>
  <si>
    <t>1903年
vacuum cleaner（電気掃除機）
cleanerが省略されてvacuumのみで掃除機を指す</t>
  </si>
  <si>
    <t>&lt;span class="w"&gt;&lt;b&gt;【1474.collision：衝突】&lt;/b&gt;&lt;/span&gt;
&lt;span class="ml"&gt;ラテン語に由来する語で、以下の3つの要素から成る。
&lt;span class="spacer"&gt;&lt;/span&gt;com（共に）
laedere（打つ）
io（名詞化）
&lt;span class="spacer"&gt;&lt;/span&gt;このまま日本語にすると「共に打つこと」となる。何かと何かがぶつかることから「衝突」という意味になる。&lt;/span&gt;</t>
  </si>
  <si>
    <t>&lt;span class="w"&gt;&lt;b&gt;【1475.bargain：お買い得品, 取引, 契約】&lt;/b&gt;&lt;/span&gt;
&lt;span class="ml"&gt;古フランス語bargaignier（値段について交渉する）に由来する。
&lt;span class="spacer"&gt;&lt;/span&gt;もともとは、ビジネスにおいて交渉することを表し、そこから、交渉の末に結ばれる「取引, 契約」という意味になった。
&lt;span class="spacer"&gt;&lt;/span&gt;この取引や契約には、良い・悪いという評価は含まれていなかったが、次第に自分にとって有利に成立した取引というニュアンスが強まって「お買い得品」そのものを指すようになった。&lt;/span&gt;</t>
  </si>
  <si>
    <t>&lt;span class="w"&gt;&lt;b&gt;【1476.landmark：（ある場所の）目印, 画期的な出来事】&lt;/b&gt;&lt;/span&gt;
&lt;span class="ml"&gt;古英語にさかのぼり、以下の2つの要素から成る。
&lt;span class="spacer"&gt;&lt;/span&gt;land（土地）
mearc（目印）
&lt;span class="spacer"&gt;&lt;/span&gt;もともとは、王国や領地の境目に置かれた物を表した（現在の日本の県境や市町村の境を示す標識のようなもの）。そこから境界を示すものに限らず、ある場所を象徴する「目印」という意味になった。
&lt;span class="spacer"&gt;&lt;/span&gt;さらに象徴的な土地の目印という実際の物から比喩的に、歴史における象徴的な「出来事」という意味にもなった。&lt;/span&gt;</t>
  </si>
  <si>
    <t>&lt;span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t>
  </si>
  <si>
    <t>&lt;span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t>
  </si>
  <si>
    <t>trahere（引っ張る）
&lt;span class="spacer"&gt;&lt;/span&gt;反復形tractare（扱う, 管理する）
&lt;span class="spacer"&gt;&lt;/span&gt;名詞になって
tractatus（議論, 取り扱い, 管理）</t>
  </si>
  <si>
    <t>&lt;span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t>
  </si>
  <si>
    <t>thoroughは、through（通り抜けて）を強調した語というイメージ。端から端まで完璧に通すように「徹底的な, 完全な」という意味になる。</t>
  </si>
  <si>
    <t>&lt;span class="w"&gt;&lt;b&gt;【1480.thorough：徹底的な, 完全な】&lt;/b&gt;&lt;/span&gt;
&lt;span class="ml"&gt;古英語のþurh（通り抜けて：throughの語源）にさかのぼる。形容詞thorough（徹底的な, 完全な）と前置詞through（通して）は兄弟関係の語。
&lt;span class="spacer"&gt;&lt;/span&gt;前置詞というのは、会話の中では名詞・形容詞・動詞などと比べて伝える内容の重要度が低いので、通常、短く弱く発音される（アクセントを持たない）。そのため、古英語þurh（通り抜けて）は、thの直後に母音とアクセントを持たない、1音節（ひとつの塊）の前置詞through（通って）になっていった。
&lt;span class="spacer"&gt;&lt;/span&gt;一方で中英語期には、thの後に母音とアクセントを保った2音節＝2つの塊からなる語が確立された。これが現代英語のthorough（tho・rough）である。
&lt;span class="spacer"&gt;&lt;/span&gt;物理的に通り抜けてることから比喩的に、端から端まで完璧に通るように「徹底的な, 完全な」という意味になった。&lt;/span&gt;</t>
  </si>
  <si>
    <t>thoro / thorow
&lt;span class="spacer"&gt;&lt;/span&gt;13世紀半ば
thurgh（通り抜けて：throughの語源）の前半部分にアクセントが置かれ、2音節の形容詞になる
&lt;span class="spacer"&gt;&lt;/span&gt;ずっと通り抜けて, 徹底的な, 完全な</t>
  </si>
  <si>
    <t>&lt;span class="w"&gt;&lt;b&gt;【1481.naked：裸の】&lt;/b&gt;&lt;/span&gt;
&lt;span class="ml"&gt;古英語nacod（裸の）にさかのぼる。
&lt;span class="spacer"&gt;&lt;/span&gt;古英語から意味の変化はほとんどない。裸眼・肉眼のことをnaked eyeと言う。&lt;/span&gt;</t>
  </si>
  <si>
    <t>&lt;span class="w"&gt;&lt;b&gt;【1482.sincere：心からの, 誠実な】&lt;/b&gt;&lt;/span&gt;
&lt;span class="ml"&gt;印欧祖語にさかのぼり、以下の2つの要素から成ると考えられる。
&lt;span class="spacer"&gt;&lt;/span&gt;*sem-（1つの）
*ker-（成長する, 作り出す）
&lt;span class="spacer"&gt;&lt;/span&gt;sin部分はsameやsim-（1つ, 同じ）と、cere部分はincreaseのcrease部分（成長）と同じというイメージ。
&lt;span class="spacer"&gt;&lt;/span&gt;単一のものから成長して不純物が一切混じっていないことから、純粋であるというイメージが生まれて「心からの, 誠実な」という意味になった。&lt;/span&gt;</t>
  </si>
  <si>
    <t>*sem-（1つの）
*ker-（成長する, 作り出す）</t>
  </si>
  <si>
    <t>家畜になった野生動物は、飼い慣らされて人に慣れている。
それと同じように人が従順である、物事が面白みがなく退屈となる。</t>
  </si>
  <si>
    <t>&lt;span class="w"&gt;&lt;b&gt;【1483.tame：飼い慣らされた, 人に慣れた, おとなしい, 退屈な】&lt;/b&gt;&lt;/span&gt;
&lt;span class="ml"&gt;古英語tam（飼い慣らされた）にさかのぼる。
&lt;span class="spacer"&gt;&lt;/span&gt;もともとは野生動物を家畜化することを表す言葉で、そこから「飼い慣らされた」や「人に慣れた」という意味になった。
&lt;span class="spacer"&gt;&lt;/span&gt;さらに動物に対してだけでなく、人・性格・アイデア・批判などが「おとなしい, 刺激がない」や、物事・状況が牙を抜かれた動物のように面白みがなく「退屈な」という意味にもなった。&lt;/span&gt;</t>
  </si>
  <si>
    <t>&lt;span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t>
  </si>
  <si>
    <t>&lt;span class="w"&gt;&lt;b&gt;【1485.dim：薄暗い, ぼんやりした】&lt;/b&gt;&lt;/span&gt;
&lt;span class="ml"&gt;古英語dimm（暗い, 薄暗い, 不明瞭な, ぼんやりした）にさかのぼる。
&lt;span class="spacer"&gt;&lt;/span&gt;古英語から意味の変化はなく、光が「薄暗い」や記憶・イメージが「ぼんやりしている」という意味になる。&lt;/span&gt;</t>
  </si>
  <si>
    <t>&lt;span class="w"&gt;&lt;b&gt;【1486.acute：痛みや感情などが激しい, 知覚などが鋭い, 急性の】&lt;/b&gt;&lt;/span&gt;
&lt;span class="ml"&gt;ラテン語acuere（鋭くする）の過去分詞actus（鋭い, 尖った）に由来する。
&lt;span class="spacer"&gt;&lt;/span&gt;この語の核は「鋭い」。物理的に鋭い・尖っているということから比喩的に、病気が一気に進展する様子を表して「急性の」という意味になった。
&lt;span class="spacer"&gt;&lt;/span&gt;また、知覚や洞察などが「鋭い」、痛みや感情が尖っていて「激しい」という意味になった。
&lt;div class="sample_image acute"&gt;&lt;/div&gt;&lt;/span&gt;</t>
  </si>
  <si>
    <t>&lt;span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t>
  </si>
  <si>
    <t>15世紀後期
dis（否定）＋ablen（可能にする）
〜できない状態にする
能力を弱める</t>
  </si>
  <si>
    <t>disableの過去分詞形容詞
&lt;span class="spacer"&gt;&lt;/span&gt;1630年代
能力を失った, 行動不能になった</t>
  </si>
  <si>
    <t>&lt;span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t>
  </si>
  <si>
    <t>&lt;span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t>
  </si>
  <si>
    <t>alter部分はラテン語由来だが
other（他の）と同じ印欧祖語にさかのぼる。</t>
  </si>
  <si>
    <t>&lt;span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t>
  </si>
  <si>
    <t>&lt;span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t>
  </si>
  <si>
    <t>このineはmarine, genuineなどと同じで形容詞を作る要素。
devは「神」と覚えておくとよい。</t>
  </si>
  <si>
    <t>&lt;span class="w"&gt;&lt;b&gt;【1492.divine：神の】&lt;/b&gt;&lt;/span&gt;
&lt;span class="ml"&gt;ラテン語に由来する語で、以下の2つの要素から成る。
&lt;span class="spacer"&gt;&lt;/span&gt;deus（神, デウス）に関連するdivus（神の, 神格化された者）
inus（形容詞化）
&lt;span class="spacer"&gt;&lt;/span&gt;ラテン語で神を表すデウスが形容詞になったと考えればよい。意味はそのまま「神の」となる。
&lt;span class="spacer"&gt;&lt;/span&gt;また日常会話では、神という最高の存在から比喩的に、食べ物・ファッション・香り・景色など様々なものに対して「最高に素晴らしい」という意味でも使われる。&lt;/span&gt;</t>
  </si>
  <si>
    <t>deus（神, デウス）に関連する
&lt;span class="spacer"&gt;&lt;/span&gt;divus（神の）
&lt;span class="spacer"&gt;&lt;/span&gt;形容詞を作る-inusが付いて
devinus（神の, 神に属する, 予言的な）</t>
  </si>
  <si>
    <t>drāo（行う, 強力に行う）
&lt;span class="spacer"&gt;&lt;/span&gt;drasteon（なされるべきこと）
&lt;span class="spacer"&gt;&lt;/span&gt;形容詞を作る-ikosが付いて
drastikos（効果的な, 有効な, 活発な, 激しい）</t>
  </si>
  <si>
    <t>&lt;span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t>
  </si>
  <si>
    <t>&lt;span class="w"&gt;&lt;b&gt;【1495.sole：唯一の, たったひとつの】&lt;/b&gt;&lt;/span&gt;
&lt;span class="ml"&gt;ラテン語solus（単独の, 唯一の）に由来する。
&lt;span class="spacer"&gt;&lt;/span&gt;ラテン語から意味の変化はほとんどない。このラテン語からはソロ（単独の）も生まれているので関連させて覚えるとよい。&lt;/span&gt;</t>
  </si>
  <si>
    <t>&lt;span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t>
  </si>
  <si>
    <t>&lt;span class="w"&gt;&lt;b&gt;【1497.spatial：空間の】&lt;/b&gt;&lt;/span&gt;
&lt;span class="ml"&gt;近代英語にさかのぼり、以下の2つの要素から成る。
&lt;span class="spacer"&gt;&lt;/span&gt;space（空間）
al（形容詞化）
&lt;span class="spacer"&gt;&lt;/span&gt;apace（空間）を形容詞化した語であり、「空間の」という意味になる。&lt;/span&gt;</t>
  </si>
  <si>
    <t>&lt;span class="w"&gt;&lt;b&gt;【1498.neat：きちんとした, （外見的に）きれいな】&lt;/b&gt;&lt;/span&gt;
&lt;span class="ml"&gt;ラテン語に由来する語で、以下の2つの要素から成る。
&lt;span class="spacer"&gt;&lt;/span&gt;nitere（輝く）
idus（形容詞化）
&lt;span class="spacer"&gt;&lt;/span&gt;この語の核は「ピカピカ輝くようにきちんとしている」。もともとは光輝いている状態を表したが、そこから汚れがなくすっきり整っている様子を表すようになった。
&lt;span class="spacer"&gt;&lt;/span&gt;そこから整っていて外見的に「きちんとした, きれいな」という意味になった。
&lt;span class="spacer"&gt;&lt;/span&gt;&lt;span class="obsolete"&gt;一方tidy（きちんとした, 片付いている）は、古英語tid（時間, 時期）にさかのぼる。「時期に合って適切」というイメージから、物があるべき適切な場所に整頓してあって「片付いている」や、人について「きちんとしている」という意味になった。&lt;/span&gt;&lt;/span&gt;</t>
  </si>
  <si>
    <t>&lt;span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t>
    <phoneticPr fontId="1"/>
  </si>
  <si>
    <t>&lt;span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t>
  </si>
  <si>
    <t>&lt;span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t>
  </si>
  <si>
    <t>sub（下から）+ferre（運ぶ）
sufferre（下に運ぶ, 受ける, 耐える）</t>
  </si>
  <si>
    <t>&lt;span class="w"&gt;&lt;b&gt;【312.engage：～を従事させる, ～を雇う】&lt;/b&gt;&lt;/span&gt;
&lt;span class="ml"&gt;古フランス語のフレーズen（中に）＋gage（誓い）に由来する。
&lt;span class="spacer"&gt;&lt;/span&gt;この語の核は「誓いの中に相手を置いて縛り付け、何かをさせる」。契約（誓い）によって労働させることから「雇う」という意味になる。また誓い自体よりも何かをさせるということに重点が置かれて、何かに「従事させる」という意味になる。&lt;/span&gt;</t>
  </si>
  <si>
    <t>&lt;span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t>
  </si>
  <si>
    <t>&lt;span class="w"&gt;&lt;b&gt;【1.a piece of 不可算名詞：ひとつの～, ～のひとつ】&lt;/b&gt;&lt;/span&gt;
&lt;span class="ml"&gt;&lt;span class="explanation_tag"&gt;イメージ&lt;/span&gt;
パズルのピースと同じで「全体をの中のひとつ」というイメージ。&lt;/span&gt;</t>
    <phoneticPr fontId="1"/>
  </si>
  <si>
    <t>&lt;span class="w"&gt;&lt;b&gt;【6.a great / good deal of 不可算名詞：かなりの～, たくさんの～】&lt;/b&gt;&lt;/span&gt;
&lt;span class="ml"&gt;&lt;span class="explanation_tag"&gt;語源&lt;/span&gt;
名詞dealは、古英語において、全体の塊から切り分けた一部分を意味した。この頃から形容詞greatなどを付けることで「部分」の大きさや程度を強調していた。
&lt;span class="spacer"&gt;&lt;/span&gt;&lt;span class="explanation_tag"&gt;イメージ&lt;/span&gt;
［a great / good deal of］は、「部分」という塊の大きさをgreatやgoodが強調して、「かなりの～, たくさんの～」となる。
&lt;span class="spacer"&gt;&lt;/span&gt;&lt;span class="explanation_tag"&gt;補足&lt;/span&gt;
goodは、1200年頃から数・量・時間・距離を強調する役割を持つ。
a good while（かなり長い時間）
a good 30 minutes（たっぷり30分）
a good ten years（丸々10年）&lt;/span&gt;</t>
    <phoneticPr fontId="1"/>
  </si>
  <si>
    <t>&lt;span class="w"&gt;&lt;b&gt;【7.at home：家で, くつろいで, 精通して】&lt;/b&gt;&lt;/span&gt;
&lt;span class="ml"&gt;class="explanation_tag"&gt;イメージ&lt;/span&gt;
at homeは、第一に「家で」という意味になる。
&lt;span class="spacer"&gt;&lt;/span&gt;そこから、自分の家にいるみたいに「くつろいで」という意味に発展する。
&lt;span class="spacer"&gt;&lt;/span&gt;そして物事に関しては、まるで自分の家のように何でも知っていて扱うことから「精通している, よく知っている」と覚えればよい。&lt;/span&gt;</t>
    <phoneticPr fontId="1"/>
  </si>
  <si>
    <t>&lt;span class="w"&gt;&lt;b&gt;【8.in time：間に合って, やがて, そのうち】&lt;/b&gt;&lt;/span&gt;
&lt;span class="ml"&gt;&lt;span class="explanation_tag"&gt;イメージ&lt;/span&gt;
inは範囲を表す。予定時刻があり、それまでの一定の時間内だと「間に合って」という意味になる。
&lt;span class="spacer"&gt;&lt;/span&gt;ある時点から先の一定の時間内という場合は「やがて, そのうち」という意味になる。&lt;/span&gt;</t>
    <phoneticPr fontId="1"/>
  </si>
  <si>
    <t>&lt;span class="w"&gt;&lt;b&gt;【9.in fashion：流行して】&lt;/b&gt;&lt;/span&gt;
&lt;span class="ml"&gt;&lt;span class="explanation_tag"&gt;語源&lt;/span&gt;
fashionは、ラテン語facere（行う, 作る）が名詞になって「やり方, 作り方」という意味になった。日本語でもオールドファッションという言葉があるが、これは、昔ながらのやり方・作り方という意味。
&lt;span class="spacer"&gt;&lt;/span&gt;その後15世紀になると、上流階級において、多くの人がする服装や装飾のやり方を指すようになり、そこから「流行」という意味に発展した。
&lt;span class="spacer"&gt;&lt;/span&gt;&lt;span class="explanation_tag"&gt;イメージ&lt;/span&gt;
［in fashion］は、まさに流行の中にあるというイメージから「流行して」という意味になる。
&lt;span class="spacer"&gt;&lt;/span&gt;&lt;span class="explanation_tag"&gt;補足&lt;/span&gt;
in fashionの反対は、out of fashion（流行遅れで）となる。流行（fashion）の（of）外（out）と考えればよい。&lt;/span&gt;</t>
    <phoneticPr fontId="1"/>
  </si>
  <si>
    <t>&lt;span class="w"&gt;&lt;b&gt;【10.on time：時間通りに】&lt;/b&gt;&lt;/span&gt;
&lt;span class="ml"&gt;&lt;span class="explanation_tag"&gt;イメージ&lt;/span&gt;
onは接触を表す。時刻を数直線上で表し、予定時刻の上に乗るイメージから「時間通りに」という意味になる。&lt;/span&gt;</t>
    <phoneticPr fontId="1"/>
  </si>
  <si>
    <t>&lt;span class="w"&gt;&lt;b&gt;【11.on duty：当番で, 勤務時間中で】&lt;/b&gt;&lt;/span&gt;
&lt;span class="ml"&gt;&lt;span class="explanation_tag"&gt;語源&lt;/span&gt;
dutyは、ラテン語de（離れて）と、habere（持つ）が合わさってできた語。本来の持ち主から離れて持っている、つまり何かを借りている状態であることから、返却すべきであるという義務へと発展した。
&lt;span class="spacer"&gt;&lt;/span&gt;その義務感から、広い意味で何かをすべき「義務」、自分がなすべき「職務」、何かをすべき状態であることを表す「当番, 職務中」という意味になった。
&lt;span class="spacer"&gt;&lt;/span&gt;&lt;span class="explanation_tag"&gt;イメージ&lt;/span&gt;
duty（義務, 当番, 職務）の上にいる（on）という意味で「当番で, 勤務中で」という意味になる。&lt;/span&gt;</t>
    <phoneticPr fontId="1"/>
  </si>
  <si>
    <t>&lt;span class="w"&gt;&lt;b&gt;【12.on schedule：予定通りで, 定時に】&lt;/b&gt;&lt;/span&gt;
&lt;span class="ml"&gt;&lt;span class="explanation_tag"&gt;イメージ&lt;/span&gt;
スケジュールの上（on）を進行しているというイメージから「予定通りで, 定時に」という意味になる。&lt;/span&gt;</t>
    <phoneticPr fontId="1"/>
  </si>
  <si>
    <t>&lt;span class="w"&gt;&lt;b&gt;【14.be aware of ~：～に気づいている, ～を知っている】&lt;/b&gt;&lt;/span&gt;
&lt;span class="ml"&gt;&lt;span class="explanation_tag"&gt;語源&lt;/span&gt;
awareは、印欧祖語の語根*wer-（注意深く見る）にさかのぼり、もともとは「注意を向けている状態」を表した。
&lt;span class="spacer"&gt;&lt;/span&gt;&lt;span class="explanation_tag"&gt;イメージ&lt;/span&gt;
［S be aware of A］は、Aに注意が向いている、つまり「Aがしっかりと意識の上にある」というイメージになる。そこから「SはAに気づいている」や「SはAを知っている」という日本語訳になる。&lt;/span&gt;</t>
    <phoneticPr fontId="1"/>
  </si>
  <si>
    <t>&lt;span class="w"&gt;&lt;b&gt;【15.be made of A：Aでできている】&lt;/b&gt;&lt;/span&gt;
&lt;span class="ml"&gt;&lt;span class="explanation_tag"&gt;イメージ&lt;/span&gt;
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class="spacer"&gt;&lt;/span&gt;日本語では「〜でできている」という素材を示すイメージとなる。&lt;/span&gt;
&lt;span class="spacer"&gt;&lt;/span&gt;&lt;span class="w"&gt;&lt;b&gt;【be made from A：Aからできている】&lt;/b&gt;&lt;/span&gt;
&lt;span class="ml"&gt;&lt;span class="explanation_tag"&gt;イメージ&lt;/span&gt;
from Aは、Aが質的に変化している。例えば「チーズはミルクからつくられる」はチーズは牛乳そのものとは言えない。
&lt;span class="spacer"&gt;&lt;/span&gt;日本語では「〜からできている」という原料を示すイメージとなる。&lt;/span&gt;</t>
    <phoneticPr fontId="1"/>
  </si>
  <si>
    <t>&lt;span class="w"&gt;&lt;b&gt;【17.be afraid of ~：～を恐れる, ～を心配している】&lt;/b&gt;&lt;/span&gt;
&lt;span class="ml"&gt;&lt;span class="explanation_tag"&gt;語源&lt;/span&gt;
afraidは、a＋fraidから成る語。aはラテン語ex（外へ）に、fraidは印欧祖語*pri-（友好, 平和）に由来する。2つを合わせると「友好や平和の外」となり、そこから、何が起こるかわからない、危険がある状態だから「恐ろしい, 心配な」という意味になる。
&lt;span class="spacer"&gt;&lt;/span&gt;&lt;span class="explanation_tag"&gt;関連語&lt;/span&gt;
印欧祖語*pri-（友好, 平和）からは、friend（友人, 友好的な人）も生まれている。
&lt;span class="spacer"&gt;&lt;/span&gt;&lt;span class="explanation_tag"&gt;イメージ&lt;/span&gt;
語源的に考えれば、afraidのfraidと、friendは兄弟関係と言える。そのためafraidは、フレンド（友好関係）の外（a）だから「恐れている」というイメージで覚えればよい。&lt;/span&gt;</t>
    <phoneticPr fontId="1"/>
  </si>
  <si>
    <t>&lt;span class="w"&gt;&lt;b&gt;【19.be composed of ~：～で構成されている】&lt;/b&gt;&lt;/span&gt;
&lt;span class="ml"&gt;&lt;span class="explanation_tag"&gt;語源&lt;/span&gt;
composeは、ラテン語com（共に）と、ponere（置く）が合わさってできた語。複数のものを一緒に置いてひとつにすることから「構成する」という意味になる。
&lt;span class="spacer"&gt;&lt;/span&gt;&lt;span class="explanation_tag"&gt;イメージ&lt;/span&gt;
composeを使った受け身の表現なので「構成されている」となる。ofは構成要素を示すが、これはbe made ofと同じだと考えればよい。&lt;/span&gt;</t>
    <phoneticPr fontId="1"/>
  </si>
  <si>
    <t>&lt;span class="w"&gt;&lt;b&gt;【21.be different from ~：～とは違っている】&lt;/b&gt;&lt;/span&gt;
&lt;span class="ml"&gt;&lt;span class="explanation_tag"&gt;語源&lt;/span&gt;
differentは、ラテン語のdis（離れて）と、ferre（運ぶ）が合わさってできた語。あるものを離れたところに運んで差別化することから「違う, 異なる」という意味になる。
&lt;span class="spacer"&gt;&lt;/span&gt;［A is different from B］は、AがBから離れたところに運ばれているというイメージで「AはBと違っている」という意味になる。
&lt;span class="spacer"&gt;&lt;/span&gt;&lt;span class="explanation_tag"&gt;補足&lt;/span&gt;
differentの反対のindifferent（無関心な）は、［A is indifferent to B］となる。fromに対してtoを使うところも反対になっている。&lt;/span&gt;</t>
    <phoneticPr fontId="1"/>
  </si>
  <si>
    <t>&lt;span class="w"&gt;&lt;b&gt;【23.be engaged in ~：～に従事している, 忙しく～している】&lt;/b&gt;&lt;/span&gt;
&lt;span class="ml"&gt;&lt;span class="explanation_tag"&gt;語源&lt;/span&gt;
engageは、古フランス語のフレーズen gage（誓いの中に）に由来する。誓いの中に相手を置いて縛り付け、何かに関与させることから、何かに「従事させる」という意味になった。
&lt;span class="spacer"&gt;&lt;/span&gt;&lt;span class="explanation_tag"&gt;イメージ&lt;/span&gt;
engage（従事させる）の受け身なので「従事している」という状態を表す。何に従事しているかはinを使って示す。
&lt;span class="spacer"&gt;&lt;/span&gt;&lt;span class="explanation_tag"&gt;補足&lt;/span&gt;
［S be engaged in A］は、すでにAに縛り付けられている・没頭中である感じ。
He is engaged in the secret project.
彼はその秘密のプロジェクトに従事していた。
&lt;span class="spacer"&gt;&lt;/span&gt;［S engage in A］は、Aという活動へ自ら入っていく感じ。
He engaged in the secret project.
彼はその秘密のプロジェクトに参加した。&lt;/span&gt;</t>
    <phoneticPr fontId="1"/>
  </si>
  <si>
    <t>&lt;span class="w"&gt;&lt;b&gt;【24.be responsible for 物事 / to 人：～に責任がある】&lt;/b&gt;&lt;/span&gt;
&lt;span class="ml"&gt;&lt;span class="explanation_tag"&gt;語源&lt;/span&gt;
responsibleは、相手の問いかけに対して当然応答する（respond）べきであるというニュアンスから発展して、一般的に「何かに対して責任がある」という意味になった。&lt;/span&gt;</t>
    <phoneticPr fontId="1"/>
  </si>
  <si>
    <t>&lt;span class="w"&gt;&lt;b&gt;【25.be married（to ~）：（〜と）結婚している】&lt;/b&gt;&lt;/span&gt;
&lt;span class="ml"&gt;marriedは「結婚している」という過去分詞形容詞。&lt;/span&gt;</t>
    <phoneticPr fontId="1"/>
  </si>
  <si>
    <t>&lt;span class="w"&gt;&lt;b&gt;【26.be satisfied with ~：～に満足している】&lt;/b&gt;&lt;/span&gt;
&lt;span class="ml"&gt;&lt;span class="explanation_tag"&gt;語源&lt;/span&gt;
satisfy（満足させる）は、ラテン語satis（十分に）と、facere（する, 作る）が合わさってできた語。十分な状態にすることから「満足させる」という意味になる。
&lt;span class="spacer"&gt;&lt;/span&gt;&lt;span class="explanation_tag"&gt;イメージ&lt;/span&gt;
satisfy（満足させる）の過去分詞形容詞satisfiedは「満足している」という意味になる。何で満たされているかをwithで示す。&lt;/span&gt;</t>
    <phoneticPr fontId="1"/>
  </si>
  <si>
    <t>&lt;span class="w"&gt;&lt;b&gt;【27.be curious about ~：～を知りたがる, ～に好奇心が強い】&lt;/b&gt;&lt;/span&gt;
&lt;span class="ml"&gt;&lt;span class="explanation_tag"&gt;補足&lt;/span&gt;
curiousは、ラテン語cura（注意, 心配）と、ous（形容詞化：〜に満ちている）が合わさってできた語。何かに関する注意で満ちている状態を表すことから、気持ちが対象でいっぱいになって「好奇心が強い」や「知りたがっている」という意味になる。&lt;/span&gt;</t>
    <phoneticPr fontId="1"/>
  </si>
  <si>
    <t>&lt;span class="w"&gt;&lt;b&gt;【28.be well off：裕福である】&lt;/b&gt;&lt;/span&gt;
&lt;span class="ml"&gt;&lt;span class="explanation_tag"&gt;語源&lt;/span&gt;
形容詞wellには、1200年頃に「幸運な, 恵まれた」という意味があった。この表現のwellはその名残り。そしてoffは「分離」を表す。
&lt;span class="spacer"&gt;&lt;/span&gt;&lt;span class="explanation_tag"&gt;イメージ&lt;/span&gt;
［be well off］は、ある状態から離れ（off）て、恵まれた（well）状態にある（be）というイメージ。そこから「裕福である」という意味になる。
&lt;span class="spacer"&gt;&lt;/span&gt;［be well off］の反対は［be bad / badly off］で「貧しい, 状況が悪い」といった意味になる。&lt;/span&gt;</t>
    <phoneticPr fontId="1"/>
  </si>
  <si>
    <t>&lt;span class="w"&gt;&lt;b&gt;【29.be likely to do ~：～しそうである】&lt;/b&gt;&lt;/span&gt;
&lt;span class="ml"&gt;&lt;span class="explanation_tag"&gt;イメージ&lt;/span&gt;
likelyは、前置詞like（〜のように）と関係している。あることが「真実や事実のような」というイメージから「実際にありそうな」という意味になる。
&lt;span class="spacer"&gt;&lt;/span&gt;［be likely to do］は、to do（〜すること）が実際にありそう、つまり「〜しそうである」という意味になる。&lt;/span&gt;</t>
    <phoneticPr fontId="1"/>
  </si>
  <si>
    <t>&lt;span class="w"&gt;&lt;b&gt;【30.be willing to do ~：～するのをいとわない】&lt;/b&gt;&lt;/span&gt;
&lt;span class="ml"&gt;&lt;span class="explanation_tag"&gt;語源&lt;/span&gt;
willと聞くと助動詞が思い浮かぶが、もともとは古英語の動詞willan（望む, したいと思う）という願望や意志を表す言葉だった。
&lt;span class="spacer"&gt;&lt;/span&gt;willingは、この動詞willの現在分詞で、「意思を持っている状態, 望んでいる状態」を表す。
&lt;span class="spacer"&gt;&lt;/span&gt;&lt;span class="explanation_tag"&gt;イメージ&lt;/span&gt;
［be willing to do］は、何かをすること（to do）に対して、前向きな意志を持っている（be willing）イメージ。そこから「〜することをいとわない」という意味になる。&lt;/span&gt;</t>
    <phoneticPr fontId="1"/>
  </si>
  <si>
    <t>&lt;span class="w"&gt;&lt;b&gt;【32.lead to ~：～を引き起こす, ～へ通じる】&lt;/b&gt;&lt;/span&gt;
&lt;span class="ml"&gt;&lt;span class="explanation_tag"&gt;イメージ&lt;/span&gt;
leadは「〜へ導く, つながる」という意味。
［lead to 結果］で、その結果を「引き起こす」、その結果へ「通じる」という意味になる。&lt;/span&gt;</t>
    <phoneticPr fontId="1"/>
  </si>
  <si>
    <t>&lt;span class="w"&gt;&lt;b&gt;【33.refer to ~：～に言及する, ～を参照する】&lt;/b&gt;&lt;/span&gt;
&lt;span class="ml"&gt;&lt;span class="explanation_tag"&gt;語源&lt;/span&gt;
referは、ラテン語re（再び）とfer（運ぶ）が合わさってできた語。「何かを運んで元の場所に戻る」が核となる。
&lt;span class="spacer"&gt;&lt;/span&gt;&lt;span class="explanation_tag"&gt;イメージ&lt;/span&gt;
今のようにネットがなく本が貴重だった時代は、書物がある場所へ人を行かせ、そこに書かれた情報を持ち帰らせた。そこからtoで向かうべき情報源を示し、［refer to］で「～を参照する」という意味になる。
&lt;span class="spacer"&gt;&lt;/span&gt;また、実際に何かを取り行って元の場所に戻るという物理的な移動から、比喩的に、話の流れの中である話題へ立ち寄ること、すなわち「言及する」という意味になる。&lt;/span&gt;</t>
    <phoneticPr fontId="1"/>
  </si>
  <si>
    <t>&lt;span class="w"&gt;&lt;b&gt;【34.contribute to ~：～の一因となる, ～に貢献する, ～に寄付する】&lt;/b&gt;&lt;/span&gt;
&lt;span class="ml"&gt;&lt;span class="explanation_tag"&gt;語源&lt;/span&gt;
contributeは、ラテン語con（共に）と、tribuere（割り当てる）が合わさってできた語。他の人や物と一緒になって何かを与えることから「一因となる, 貢献する, 寄付する」といった意味になる。与える対象はtoで示す。
&lt;span class="spacer"&gt;&lt;/span&gt;&lt;span class="explanation_tag"&gt;イメージ&lt;/span&gt;
［contribute to 結果］なら他の原因と一緒になって結果に至ることから「〜の一因となる, 〜に貢献する」となる。
&lt;span class="spacer"&gt;&lt;/span&gt;また他の人と一緒にお金や物を与えるなら「寄付する」という意味になる。&lt;/span&gt;</t>
    <phoneticPr fontId="1"/>
  </si>
  <si>
    <t>&lt;span class="w"&gt;&lt;b&gt;【36.depend on / upon ~：～に頼る, ～次第である】&lt;/b&gt;&lt;/span&gt;
&lt;span class="ml"&gt;&lt;span class="explanation_tag"&gt;語源&lt;/span&gt;
dependは、ラテン語de（下に）と、pendere（吊るす）が合わさってできた語。対象にぶら下がるということから、何かに「頼る, 依存する, 次第である」という意味になる。
&lt;span class="spacer"&gt;&lt;/span&gt;&lt;span class="explanation_tag"&gt;イメージ&lt;/span&gt;
［depend on 対象］で、対象にぶら下がっている、つまり対象に「依存している」や対象「次第である」という意味になる。
&lt;span class="spacer"&gt;&lt;/span&gt;on/uponは接触を意味し、ぶら下がる対象を示す。&lt;/span&gt;</t>
    <phoneticPr fontId="1"/>
  </si>
  <si>
    <t>&lt;span class="w"&gt;&lt;b&gt;【37.focus on ~：～に集中する, ～に焦点を合わせる】&lt;/b&gt;&lt;/span&gt;
&lt;span class="ml"&gt;&lt;span class="explanation_tag"&gt;語源&lt;/span&gt;
focusは、ラテン語focus（暖炉）に由来する。暖炉の火ということから発展して、近代において、レンズで光を一点に集めて火を起こせる点である「焦点」という意味になった。
&lt;span class="spacer"&gt;&lt;/span&gt;&lt;span class="explanation_tag"&gt;イメージ&lt;/span&gt;
名詞focusは焦点や収束点を意味するが、動詞は一点に「集中する」という意味になる。接触を表すonで集中する対象を示し、レンズで光を集めるように、何かに「集中する, 焦点を合わせる」という意味になる。&lt;/span&gt;</t>
    <phoneticPr fontId="1"/>
  </si>
  <si>
    <t>&lt;span class="w"&gt;&lt;b&gt;【38.rely on / upon ~：～に頼る】&lt;/b&gt;&lt;/span&gt;
&lt;span class="ml"&gt;relyは、ラテン語re（強意）と、ligere（結ぶ）が合わさってできた語。何かにしっかりと結びついてそれを支えとすることから「頼る」という意味になる。
&lt;span class="spacer"&gt;&lt;/span&gt;on/uponは接触を意味し、結びつく対象を示す。
&lt;span class="spacer"&gt;&lt;/span&gt;&lt;span class="explanation_tag"&gt;イメージ&lt;/span&gt;
［rely on 対象］で、信頼や自信をもって対象にしっかり結びついて支えにする、つまり対象に「頼る」という意味になる。&lt;/span&gt;</t>
    <phoneticPr fontId="1"/>
  </si>
  <si>
    <t>&lt;span class="w"&gt;&lt;b&gt;【39.get on ~：～に乗る, 仲良くやっていく】&lt;/b&gt;&lt;/span&gt;
&lt;span class="ml"&gt;&lt;span class="explanation_tag"&gt;イメージ&lt;/span&gt;
getは「何らかの状態になる」ことを表し、onは接触を表す。そこからget onは「何かに接触した状態になる」というイメージ。
&lt;span class="spacer"&gt;&lt;/span&gt;［get on 乗り物］なら、乗り物に接触した状態になることから「～に乗る」という意味になる。
&lt;span class="spacer"&gt;&lt;/span&gt;また［get on with 人］で、乗り物や流れていく時間に誰かと一緒に接触するイメージになり、Aと一緒に何かに乗って進んでいくことから「Aと仲良くやっていく」という意味になる。
&lt;span class="spacer"&gt;&lt;/span&gt;&lt;span class="explanation_tag"&gt;補足&lt;/span&gt;
［get on with 物事］で、物事を「進めていく」という意味にもなる。&lt;/span&gt;</t>
    <phoneticPr fontId="1"/>
  </si>
  <si>
    <t>&lt;span class="w"&gt;&lt;b&gt;【40.insist on / upon ~：～を主張する】&lt;/b&gt;&lt;/span&gt;
&lt;span class="ml"&gt;&lt;span class="explanation_tag"&gt;語源&lt;/span&gt;
insistは、ラテン語in（中に, 上に）と、sistere（立つ）が合わさってできた語。ある立場に立ち続けて譲らないことから、何かを強く「主張する」という意味になった。
&lt;span class="spacer"&gt;&lt;/span&gt;&lt;span class="explanation_tag"&gt;イメージ&lt;/span&gt;
［insist on 対象］で、対象の上に（on）立ち続けて譲らない、つまり対象を強く「主張する」という意味になる。&lt;/span&gt;</t>
    <phoneticPr fontId="1"/>
  </si>
  <si>
    <t>&lt;span class="w"&gt;&lt;b&gt;【42.look for ~：〜を探す】&lt;/b&gt;&lt;/span&gt;
&lt;span class="ml"&gt;&lt;span class="explanation_tag"&gt;イメージ&lt;/span&gt;
lookは視線を動かすイメージ。
lookのあとに点を示すatが続けば、視線を一点に向ける＝「見る」となる。
対象を求めるforが続けば、視線を向ける対象を求める＝「探す」という意味になる。&lt;/span&gt;</t>
    <phoneticPr fontId="1"/>
  </si>
  <si>
    <t>&lt;span class="w"&gt;&lt;b&gt;【43.search for ~：〜を捜す】&lt;/b&gt;&lt;/span&gt;
&lt;span class="ml"&gt;&lt;span class="explanation_tag"&gt;イメージ&lt;/span&gt;
searchの後に対象を求めるforが続いて、対象を「探す」という意味になる。&lt;/span&gt;</t>
    <phoneticPr fontId="1"/>
  </si>
  <si>
    <t>&lt;span class="w"&gt;&lt;b&gt;【44.prepare for ~：～の準備をする】&lt;/b&gt;&lt;/span&gt;
&lt;span class="ml"&gt;&lt;span class="explanation_tag"&gt;語源&lt;/span&gt;
prepareは、ラテン語prae（前もって）と、parare（整える）が合わさってできた語。あらかじめ何かを用意しておくことから「準備する」という意味になる。
&lt;span class="spacer"&gt;&lt;/span&gt;&lt;span class="explanation_tag"&gt;イメージ&lt;/span&gt;
［prepare for］で、何かに対して（for）前もって（pre）整える（parare）ことから「〜の準備をする」という意味になる。&lt;/span&gt;</t>
    <phoneticPr fontId="1"/>
  </si>
  <si>
    <t>&lt;span class="w"&gt;&lt;b&gt;【48.die of / from ~：〜で死ぬ】&lt;/b&gt;&lt;/span&gt;
&lt;span class="ml"&gt;&lt;span class="explanation_tag"&gt;イメージ&lt;/span&gt;
ofとfromのイメージの違いは、be made of / fromと似ている。be made ofは素材と完成品が直接結びついているイメージだが、be made fromは素材が変化して完成品になっているイメージ。
&lt;span class="spacer"&gt;&lt;/span&gt;同様に、ofは「〜で死ぬ」という直接的な原因を示し、fromは死という結果へたどり着く始まりを示す。ただし両者の使い分けは必ずしも厳密ではない。&lt;/span&gt;</t>
    <phoneticPr fontId="1"/>
  </si>
  <si>
    <t>&lt;span class="w"&gt;&lt;b&gt;【49.suffer from ~：〜で苦しむ】&lt;/b&gt;&lt;/span&gt;
&lt;span class="ml"&gt;&lt;span class="explanation_tag"&gt;語源&lt;/span&gt;
sufferは、ラテン語sub（下に）と、ferre（運ぶ）が合わさってできた語。物理的に重荷がのしかかることから、比喩的に何かに「苦しむ」という意味になった。
&lt;span class="explanation_tag"&gt;イメージ&lt;/span&gt;
［suffer from A］は、Aから（from）苦しみが運ばれてのしかかってくる（suffer）イメージで「Aで苦しむ」という意味になる。&lt;/span&gt;</t>
    <phoneticPr fontId="1"/>
  </si>
  <si>
    <t>&lt;span class="w"&gt;&lt;b&gt;【50.result from ~：〜から起こる】&lt;/b&gt;&lt;/span&gt;
&lt;span class="ml"&gt;&lt;span class="explanation_tag"&gt;語源&lt;/span&gt;
resultは、ラテン語re（戻る）＋salire（跳ぶ）が合わさってできた語。物理的に何かが跳ね返ってくることから、比喩的に、ある原因から跳ね返るようにして生じた「結果」を指すようになった。
&lt;span class="spacer"&gt;&lt;/span&gt;&lt;span class="explanation_tag"&gt;イメージ&lt;/span&gt;
［S result from A］は、SがAから飛び出てくるイメージで「〜から起こる」という意味になる。
&lt;span class="spacer"&gt;&lt;/span&gt;&lt;span class="explanation_tag"&gt;補足&lt;/span&gt;
［S result in A］は、SがAの中に飛び込んでいくイメージで「〜の結果に終わる」という意味になる。&lt;/span&gt;</t>
    <phoneticPr fontId="1"/>
  </si>
  <si>
    <t>&lt;span class="w"&gt;&lt;b&gt;【51.graduate from ~：〜から卒業する】&lt;/b&gt;&lt;/span&gt;
&lt;span class="ml"&gt;graduateは、ラテン語gradus（一歩）に由来する。学問の階段を一歩ずつ進んでいって次の段階に進むことから「学位を取得する, 卒業する」という意味になる。
&lt;span class="spacer"&gt;&lt;/span&gt;&lt;span class="explanation_tag"&gt;イメージ&lt;/span&gt;
［graduate from A］で、Aから一歩進んで次の段階に入るイメージから「〜から卒業する」という意味になる。&lt;/span&gt;</t>
    <phoneticPr fontId="1"/>
  </si>
  <si>
    <t>&lt;span class="w"&gt;&lt;b&gt;【52.differ from ~：～と異なる】&lt;/b&gt;&lt;/span&gt;
&lt;span class="ml"&gt;&lt;span class="explanation_tag"&gt;語源&lt;/span&gt;
differは、ラテン語dis（離れて）と、ferre（運ぶ）が合わさってできた語。あるものを離れたところに運んで差別化することから「異なる」という意味になる。
&lt;span class="spacer"&gt;&lt;/span&gt;&lt;span class="explanation_tag"&gt;イメージ&lt;/span&gt;
［S differ from A］で、SはAから離れたところに運ばれる、つまり「SはAと異なる」という意味になる。これはbe different from の動詞バージョンと考えればよい。&lt;/span&gt;</t>
    <phoneticPr fontId="1"/>
  </si>
  <si>
    <t>&lt;span class="w"&gt;&lt;b&gt;【53.recover from ~：～から回復する】&lt;/b&gt;&lt;/span&gt;
&lt;span class="ml"&gt;&lt;span class="explanation_tag"&gt;語源&lt;/span&gt;
recoverは、ラテン語re（再び）と、capere（取る）が合わさってできた語。何かを再び取り戻すことから「回復する」という意味になる。
&lt;span class="spacer"&gt;&lt;/span&gt;&lt;span class="explanation_tag"&gt;イメージ&lt;/span&gt;
［recover from A］で、「Aから回復する」という意味になる。&lt;/span&gt;</t>
    <phoneticPr fontId="1"/>
  </si>
  <si>
    <t>&lt;span class="w"&gt;&lt;b&gt;【54.hear from ~：～から便りがある】&lt;/b&gt;&lt;/span&gt;
&lt;span class="ml"&gt;&lt;span class="explanation_tag"&gt;イメージ&lt;/span&gt;
［hear from A］は、直訳すると「〜から聞く」となる。これは、Aから言葉が届くというイメージをもてばよい。&lt;/span&gt;</t>
    <phoneticPr fontId="1"/>
  </si>
  <si>
    <t>&lt;span class="w"&gt;&lt;b&gt;【55.believe in ~：～を信じる】&lt;/b&gt;&lt;/span&gt;
&lt;span class="ml"&gt;&lt;span class="explanation_tag"&gt;イメージ&lt;/span&gt;
in（〜の中）は、信じる対象全体を示す。
［believe in A］は、Aという存在・価値・性格・能力などを丸ごと信じるというイメージ。
［believe A］は、Aの発言・言葉を信じるというイメージ。
&lt;span class="spacer"&gt;&lt;/span&gt;［Believe in me.］は、私という人間全体を信じてくれ。
［Believe me.］は、私の言葉を信じてくれ。これは、listen to me.（私の言うことを聞いて）と同じ。&lt;/span&gt;</t>
    <phoneticPr fontId="1"/>
  </si>
  <si>
    <t>&lt;span class="w"&gt;&lt;b&gt;【56.succeed in ~：～に成功する】&lt;/b&gt;&lt;/span&gt;
&lt;span class="ml"&gt;&lt;span class="explanation_tag"&gt;語源&lt;/span&gt;
succeedは、ラテン語sub（下に, 後に）と、cedere（行く, 進む）が合わさってできた語。後に続いて進んでいくことから「跡を継ぐ」や、行為の後に続く結果、特に「成功する」を意味するようになった。
&lt;span class="spacer"&gt;&lt;/span&gt;&lt;span class="explanation_tag"&gt;イメージ&lt;/span&gt;
［S succeed in A］は、SがAという範囲において「成功する」という意味になる。
&lt;span class="spacer"&gt;&lt;/span&gt;&lt;span class="explanation_tag"&gt;補足&lt;/span&gt;
［S succeed to A］は、Sが後に続いていってAに至ることを表して、「Aの跡を継ぐ」という意味になる。&lt;/span&gt;</t>
    <phoneticPr fontId="1"/>
  </si>
  <si>
    <t>&lt;span class="w"&gt;&lt;b&gt;【57.major in ~：（大学生が）～を専攻する】&lt;/b&gt;&lt;/span&gt;
&lt;span class="ml"&gt;&lt;span class="explanation_tag"&gt;イメージ&lt;/span&gt;
majorは、形容詞では「より大きい, より重要な」を意味する。そこから、学生が自分の学生生活の大部分を割り当てるものとして、名詞で「専門分野」、動詞で「専門にする, 専攻する」という意味になる。
&lt;span class="spacer"&gt;&lt;/span&gt;［major in A］で、Aという範囲を専門とすることから「Aを専攻する」という意味になる。&lt;/span&gt;</t>
    <phoneticPr fontId="1"/>
  </si>
  <si>
    <t>&lt;span class="w"&gt;&lt;b&gt;【59.care about ~：～を気にかける】&lt;/b&gt;&lt;/span&gt;
&lt;span class="ml"&gt;&lt;span class="explanation_tag"&gt;イメージ&lt;/span&gt;
日本語のケアする＝気にかけると同じ。aboutで何について気にかけるかを示す。&lt;/span&gt;</t>
    <phoneticPr fontId="1"/>
  </si>
  <si>
    <t>&lt;span class="w"&gt;&lt;b&gt;【62.go through ~：～を通過する, 〜を経験する】&lt;/b&gt;&lt;/span&gt;
&lt;span class="ml"&gt;&lt;span class="explanation_tag"&gt;イメージ&lt;/span&gt;
直訳すると「通って行く」なので「通過する」となる。また、この物理的な通過から比喩的に、人生における通過＝「経験する」という意味になる。
&lt;span class="spacer"&gt;&lt;/span&gt;他にも「見直す, 説明する, 使い切る」といった使われ方をするが、大事なのは「通って最後まで行く」というイメージ。&lt;/span&gt;</t>
  </si>
  <si>
    <t>&lt;span class="w"&gt;&lt;b&gt;【63.give up ~：～を諦める, 〜を捨てる】&lt;/b&gt;&lt;/span&gt;
&lt;span class="ml"&gt;&lt;span class="explanation_tag"&gt;イメージ&lt;/span&gt;
日本語のギブアップと同じ。「〜することを諦める」の場合はgive up &lt;strong&gt;doing&lt;/strong&gt;なので注意。&lt;/span&gt;</t>
  </si>
  <si>
    <t>&lt;span class="w"&gt;&lt;b&gt;【64.grow up：成長する, 発生する】&lt;/b&gt;&lt;/span&gt;
&lt;span class="ml"&gt;&lt;span class="explanation_tag"&gt;語源&lt;/span&gt;
&lt;strong&gt;gr&lt;/strong&gt;ow（成長する）は、印欧祖語*ghre-（成長する, 緑色になる）にさかのぼる。この印欧祖語からは&lt;strong&gt;gr&lt;/strong&gt;eenも生まれており、植物が地面から芽を出し伸びていき（up）、鮮やかな緑色になっていくことから、植物の成長を表していた。
&lt;span class="spacer"&gt;&lt;/span&gt;そこから植物に限らず。人・動物の成長、感情・関係・規模などの抽象的なものの成長も意味するようになった。
&lt;span class="spacer"&gt;&lt;/span&gt;&lt;span class="explanation_tag"&gt;イメージ&lt;/span&gt;
内部で成長して、その結果が表に現れるイメージから、問題や物事が「発生する」という意味にもなる。&lt;/span&gt;</t>
  </si>
  <si>
    <t>&lt;span class="w"&gt;&lt;b&gt;【65.pick up ~：〜を乗せる, 〜を拾う】&lt;/b&gt;&lt;/span&gt;
&lt;span class="ml"&gt;&lt;span class="spacer"&gt;&lt;/span&gt;&lt;span class="explanation_tag"&gt;イメージ&lt;/span&gt;
pickは指でつまむというイメージ。up（上に）が付いて、つまみ上げる＝「拾う」という意味になる。さらに乗り物で誰かを拾う場合は「乗せる」という意味になる。&lt;/span&gt;</t>
  </si>
  <si>
    <t>&lt;span class="w"&gt;&lt;b&gt;【66.set up ~：〜を建てる, 〜を始める, 〜を創設する】&lt;/b&gt;&lt;/span&gt;
&lt;span class="ml"&gt;&lt;span class="explanation_tag"&gt;イメージ&lt;/span&gt;
何かを準備して（set）、上に（up）築き上げ、しっかり機能するようにして完成させるイメージ。
&lt;span class="spacer"&gt;&lt;/span&gt;会社・制度・組織などをset upするなら、立ち上げて機能させることから「創設する」という意味になる。
&lt;span class="spacer"&gt;&lt;/span&gt;テント・シェルターなどを準備して築き上げることから「建てる」という意味になる。
&lt;span class="spacer"&gt;&lt;/span&gt;システム・ビジネスなどの土台を準備して機能するようにすることから「始める」という意味になる。
&lt;span class="spacer"&gt;&lt;/span&gt;繰り返しになるが、重要なのは「何かを準備して（set）、上に（up）築き上げ、しっかり機能するようにして完成させる」というイメージ。ここから様々な訳になる。&lt;/span&gt;</t>
  </si>
  <si>
    <t>&lt;span class="w"&gt;&lt;b&gt;【67.wake up (~)：目が覚める, 目を覚まさせる】&lt;/b&gt;&lt;/span&gt;
&lt;span class="ml"&gt;&lt;span class="explanation_tag"&gt;イメージ&lt;/span&gt;
wakeは目を覚ます、覚まさせるという覚醒を表す。upは起き上がって活動に入るイメージ。&lt;/span&gt;</t>
  </si>
  <si>
    <t>&lt;span class="w"&gt;&lt;b&gt;【68.brush up (on ~)：やり直して磨きをかける】&lt;/b&gt;&lt;/span&gt;
&lt;span class="ml"&gt;&lt;span class="explanation_tag"&gt;イメージ&lt;/span&gt;
名詞brush（ブラシ）から派生した動詞brushは、ブラシをかけて綺麗に磨くというイメージ。upは、上にあがって頂上に到達して完全になる感じ。そこからbrush upは、既にあるものをより良い状態に「磨きをかける」という意味になる。&lt;/span&gt;</t>
  </si>
  <si>
    <t>&lt;span class="w"&gt;&lt;b&gt;【69.find out ~：（調査により）を見つけ出す, （真相）を知る】&lt;/b&gt;&lt;/span&gt;
&lt;span class="ml"&gt;&lt;span class="explanation_tag"&gt;イメージ&lt;/span&gt;
find outは、隠れていたことを外に出して（out）明らかにするというイメージ。&lt;/span&gt;</t>
  </si>
  <si>
    <t>&lt;span class="w"&gt;&lt;b&gt;【70.carry out ~：〜を実行する】&lt;/b&gt;&lt;/span&gt;
&lt;span class="ml"&gt;carry outは、頭の中の考えや計画を外に運び出す＝実行するというイメージ。
&lt;span class="spacer"&gt;&lt;/span&gt;&lt;span class="explanation_tag"&gt;語源&lt;/span&gt;
carryは、ラテン語carrum（二輪の戦車）に由来する。もともとは車両で何かを運ぶことを表したが、そこから車両に限らず、一般的に何かを「運ぶ」という行為を意味するようになった。
&lt;span class="explanation_tag"&gt;イメージ&lt;/span&gt;
carry outは、運んで（carry）完全に外に出す（out）イメージから、何かを「遂行する, 実行する」という意味になる。
&lt;span class="spacer"&gt;&lt;/span&gt;&lt;span class="explanation_tag"&gt;補足&lt;/span&gt;
ラテン語carrumからは、以下の語も生まれている。
car（車）
charge（責任, サービスの料金）&lt;/span&gt;</t>
  </si>
  <si>
    <t>&lt;span class="w"&gt;&lt;b&gt;【71.point out ~：〜を指摘する】&lt;/b&gt;&lt;/span&gt;
&lt;span class="ml"&gt;&lt;span class="explanation_tag"&gt;イメージ&lt;/span&gt;
point outは、相手が気づいていないポイントや隠れているポイントを指差して外に出し、明らかにするイメージ。そこから「指摘する」という意味になる。&lt;/span&gt;</t>
  </si>
  <si>
    <t>&lt;span class="w"&gt;&lt;b&gt;【75.pick out ~：〜を選び出す】&lt;/b&gt;&lt;/span&gt;
&lt;span class="ml"&gt;&lt;span class="explanation_tag"&gt;イメージ&lt;/span&gt;
指でつまんで（pick）外に出す（out）ことから、選択肢の中から「選び出す」という意味になる。&lt;/span&gt;</t>
  </si>
  <si>
    <t>&lt;span class="w"&gt;&lt;b&gt;【76.put on ~：〜を身につける, （電気など）をつける】&lt;/b&gt;&lt;/span&gt;
&lt;span class="ml"&gt;&lt;span class="explanation_tag"&gt;イメージ&lt;/span&gt;
put onは何かの表面に置くイメージ。ここから様々な使い方をされる。
&lt;span class="spacer"&gt;&lt;/span&gt;身体の上に衣服や装飾を置くなら「身につける」となる。システムなどを作動状態にのせるなら「（電気など）をつける」となる。
&lt;span class="spacer"&gt;&lt;/span&gt;また本来とは違う様子を自分自身にのせるなら「ふりをする」となり、体重が自分の体にのるなら「体重が増える」となる。
&lt;span class="spacer"&gt;&lt;/span&gt;とにかく何かの表面に接触させて置く、何かの上に置くというイメージが大切。&lt;/span&gt;</t>
  </si>
  <si>
    <t>&lt;span class="w"&gt;&lt;b&gt;【78.try on ~：〜を試着する】&lt;/b&gt;&lt;/span&gt;
&lt;span class="ml"&gt;&lt;span class="explanation_tag"&gt;イメージ&lt;/span&gt;
try onは、試しに（try）身につける（on）から「試着する」と考える。&lt;/span&gt;</t>
  </si>
  <si>
    <t>&lt;span class="w"&gt;&lt;b&gt;【79.turn on ~：（オン側に）する】&lt;/b&gt;&lt;/span&gt;
&lt;span class="ml"&gt;&lt;span class="explanation_tag"&gt;イメージ&lt;/span&gt;
turnは、向きを変えるというイメージ。onとoffがあるものをon側に向かせることから「（スイッチなど）をつける, 水を出す」という意味になる。&lt;/span&gt;</t>
  </si>
  <si>
    <t>&lt;span class="w"&gt;&lt;b&gt;【80.turn off ~：（オフ側に）する】&lt;/b&gt;&lt;/span&gt;
&lt;span class="ml"&gt;&lt;span class="explanation_tag"&gt;イメージ&lt;/span&gt;
turnは、向きを変えるというイメージ。onとoffがあるものをoff側に向かせることから「（スイッチなど）を消す, 水を止める」という意味になる。&lt;/span&gt;</t>
  </si>
  <si>
    <t>&lt;span class="w"&gt;&lt;b&gt;【81.take off ~：〜を脱ぐ, 〜を取り除く, 離陸する, 〜を休暇として取る】&lt;/b&gt;&lt;/span&gt;
&lt;span class="ml"&gt;&lt;span class="explanation_tag"&gt;イメージ&lt;/span&gt;
takeは「対象をグッとつかむ」イメージで、offは「分離」を表す。つまりtake offは、何かをつかんでそこから離すイメージとなる。
&lt;span class="spacer"&gt;&lt;/span&gt;服をつかんで離すなら「脱ぐ」となり、物をつかんで離すなら「取り除く」という意味になる。
&lt;span class="spacer"&gt;&lt;/span&gt;飛行機などが（まるでつかまれて）地面から離れる様子は「離陸する」という意味になる。
&lt;span class="spacer"&gt;&lt;/span&gt;日常のルーティンや仕事のスケジュールなどから、ある一定の期間を取って離すなら、その期間を「休みとして取る」という意味になる。
&lt;span class="spacer"&gt;&lt;/span&gt;このように様々な使われ方があるため、核となる「つかんで離す」というイメージから意味を持っておくとよい。&lt;/span&gt;</t>
  </si>
  <si>
    <t>&lt;span class="w"&gt;&lt;b&gt;【82.get along：暮らす, （なんとか）やっていく, （with 相手）仲良くやっていく, 進展する】&lt;/b&gt;&lt;/span&gt;
&lt;span class="ml"&gt;&lt;span class="explanation_tag"&gt;イメージ&lt;/span&gt;
getは「ある状態になる」ことを表し、alongは「長いラインに沿って途絶えることなく進み続ける」というイメージ。そこからget alongは、今の状態のまま途切れることなく、スムーズに進んでいくことを表して「暮らす, （なんとか）やっていく, 仲良くやっていく, 進展する」といった意味になる。&lt;/span&gt;</t>
  </si>
  <si>
    <t>&lt;span class="w"&gt;&lt;b&gt;【83.get together：集まる, （get O together）〜を集める】&lt;/b&gt;&lt;/span&gt;
&lt;span class="ml"&gt;&lt;span class="explanation_tag"&gt;イメージ&lt;/span&gt;
getは「ある状態になる」ことを表す。バラバラなものが一緒に（together）なる（get）ことから「集まる, 集める」という意味になる。&lt;/span&gt;</t>
  </si>
  <si>
    <t>&lt;span class="w"&gt;&lt;b&gt;【84.calm down：落ち着く, 落ち着かせる】&lt;/b&gt;&lt;/span&gt;
&lt;span class="ml"&gt;&lt;span class="explanation_tag"&gt;語源&lt;/span&gt;
calmは、後期ラテン語cauma（真昼の太陽の熱＝全てのものが休み静止する時間）に由来する。真昼の最も暑い時間帯は活動を控えて休むことから、動きがない穏やかな状態を表すようになった。
&lt;span class="spacer"&gt;&lt;/span&gt;&lt;span class="explanation_tag"&gt;イメージ&lt;/span&gt;
calm downは、calm（穏やかにする）と、downという沈静化のイメージが組み合わさって、荒れた心・状態・自然などに関して「落ち着く, 落ち着かせる」という意味になる。&lt;/span&gt;</t>
  </si>
  <si>
    <t>&lt;span class="w"&gt;&lt;b&gt;【87.take place：起こる, 開催される】&lt;/b&gt;&lt;/span&gt;
&lt;span class="ml"&gt;&lt;span class="explanation_tag"&gt;イメージ&lt;/span&gt;
ある出来事が、現実世界の中に自分の場所（place）をガシッとつかむ（take）イメージから「起こる, 開催される」という意味になる。&lt;/span&gt;</t>
  </si>
  <si>
    <t>&lt;span class="w"&gt;&lt;b&gt;【86.keep doing：〜し続ける】&lt;/b&gt;&lt;/span&gt;
&lt;span class="ml"&gt;&lt;span class="explanation_tag"&gt;イメージ&lt;/span&gt;
doing（〜すること）を維持する（keep）ので「〜し続ける」という意味になる。&lt;/span&gt;</t>
    <phoneticPr fontId="1"/>
  </si>
  <si>
    <t>&lt;span class="w"&gt;&lt;b&gt;【88.play a role / part （in ~）：（〜で）役割を演じる, 果たす】&lt;/b&gt;&lt;/span&gt;
&lt;span class="ml"&gt;&lt;span class="explanation_tag"&gt;語源&lt;/span&gt;
role（役, 役割）は、古フランス語rolle（巻物）に由来する。語源としては、動詞roll（巻く）と同じ。昔は巻物に役者のセリフが書かれていたことから、roleが「役, 役割」という意味になった。
&lt;span class="spacer"&gt;&lt;/span&gt;&lt;span class="explanation_tag"&gt;イメージ&lt;/span&gt;
play a role / partが「役割を演じる, 果たす」という意味になり、inで「何において役割を果たすか」を示す。&lt;/span&gt;</t>
    <phoneticPr fontId="1"/>
  </si>
  <si>
    <t>&lt;span class="w"&gt;&lt;b&gt;【89.make sure（~）：（～を）確かめる, 確実に～する】&lt;/b&gt;&lt;/span&gt;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class="explanation_tag"&gt;イメージ&lt;/span&gt;
make sureは、心配や不安から離れた状態にするというイメージで「確かめる, 確実に～する」という意味になる。
&lt;span class="explanation_tag"&gt;補足&lt;/span&gt;
make sureは、以下のように使われる。
make sure (that) S V
make sure to do
make sure of A
いずれにしてもmake sureの後に続く要素に対して、心配や不安がない状態にすることから「～を確かめる, 確実に～する」という意味になる。&lt;/span&gt;</t>
    <rPh sb="40" eb="41">
      <t>タシ</t>
    </rPh>
    <rPh sb="46" eb="48">
      <t>カクジツ</t>
    </rPh>
    <rPh sb="131" eb="132">
      <t>ゴ</t>
    </rPh>
    <rPh sb="135" eb="136">
      <t>ハナ</t>
    </rPh>
    <rPh sb="146" eb="148">
      <t>シンパイ</t>
    </rPh>
    <rPh sb="150" eb="151">
      <t>ア</t>
    </rPh>
    <rPh sb="158" eb="159">
      <t>ゴ</t>
    </rPh>
    <rPh sb="287" eb="289">
      <t>シンパイ</t>
    </rPh>
    <rPh sb="290" eb="292">
      <t>フアン</t>
    </rPh>
    <rPh sb="294" eb="295">
      <t>ハナ</t>
    </rPh>
    <rPh sb="297" eb="299">
      <t>ジョウタイ</t>
    </rPh>
    <rPh sb="311" eb="312">
      <t>タシ</t>
    </rPh>
    <rPh sb="317" eb="319">
      <t>カクジツ</t>
    </rPh>
    <rPh sb="327" eb="329">
      <t>イミ</t>
    </rPh>
    <rPh sb="385" eb="387">
      <t>イカ</t>
    </rPh>
    <rPh sb="391" eb="392">
      <t>ツカ</t>
    </rPh>
    <rPh sb="466" eb="467">
      <t>ゴ</t>
    </rPh>
    <rPh sb="468" eb="469">
      <t>ツヅ</t>
    </rPh>
    <rPh sb="470" eb="472">
      <t>ヨウソ</t>
    </rPh>
    <rPh sb="473" eb="474">
      <t>タイ</t>
    </rPh>
    <rPh sb="477" eb="479">
      <t>シンパイ</t>
    </rPh>
    <rPh sb="480" eb="482">
      <t>フアン</t>
    </rPh>
    <rPh sb="485" eb="487">
      <t>ジョウタイ</t>
    </rPh>
    <rPh sb="497" eb="498">
      <t>タシ</t>
    </rPh>
    <rPh sb="503" eb="505">
      <t>カクジツ</t>
    </rPh>
    <rPh sb="513" eb="515">
      <t>イミ</t>
    </rPh>
    <phoneticPr fontId="1"/>
  </si>
  <si>
    <t>&lt;span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t>
  </si>
  <si>
    <t>&lt;span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t>
  </si>
  <si>
    <t>&lt;span class="w"&gt;&lt;b&gt;【61.deal with ~：～を扱う, 〜を対処する】&lt;/b&gt;&lt;/span&gt;
&lt;span class="ml"&gt;&lt;span class="explanation_tag"&gt;語源&lt;/span&gt;
dealは、古英語dælan（分ける, 分配する）にさかのぼる。トランプを配る人をディーラー（dealer）と呼ぶのは、ここから来ている。
&lt;span class="spacer"&gt;&lt;/span&gt;ある人たちが何かを分配するということは、当然その人たちは相互に関わりを持っている。そこから、「分配」ではなく「関わり」へと意味の焦点が移り、ある人物や物事と関わりを持つことを表すようになった。
&lt;span class="spacer"&gt;&lt;/span&gt;さらに、人物や物事と関わるとき、問題や厄介なことがあれば、それらに対して行動しなければならない。そこから、何かに関わって「扱う, 対処する」という意味になった。
&lt;span class="spacer"&gt;&lt;/span&gt;&lt;span class="explanation_tag"&gt;イメージ&lt;/span&gt;
分配する
&lt;span class="arrow"&gt;→&lt;/span&gt;分け合うのは関係者たち
&lt;span class="arrow"&gt;→&lt;/span&gt;人や物事と関係を持つ
&lt;span class="arrow"&gt;→&lt;/span&gt;関わるものに対して行動する
&lt;span class="arrow"&gt;→&lt;/span&gt;色々な人や物事を「扱う, 対処する」&lt;/span&gt;</t>
  </si>
  <si>
    <t>&lt;span class="w"&gt;&lt;b&gt;【91.make a difference：違いが生じる, 重要である】&lt;/b&gt;&lt;/span&gt;
&lt;span class="ml"&gt;&lt;span class="explanation_tag"&gt;イメージ&lt;/span&gt;
difference（違い, 差異）を作る（make）ので「違いが生じる」という意味になる。
&lt;span class="spacer"&gt;&lt;/span&gt;また［S make a difference］で、Sが違いを生むということは、Sがある場合とない場合で差が生じるということ。つまりSの存在は「重要である」という意味になる。&lt;/span&gt;</t>
  </si>
  <si>
    <t>&lt;span class="w"&gt;&lt;b&gt;【92.make a mistake：間違いをする】&lt;/b&gt;&lt;/span&gt;
&lt;span class="ml"&gt;&lt;span class="explanation_tag"&gt;イメージ&lt;/span&gt;
mistake（間違い）を作る（make）ので「間違いをする」という意味になる。&lt;/span&gt;</t>
  </si>
  <si>
    <t>&lt;span class="w"&gt;&lt;b&gt;【94.make up one's mind：決心する】&lt;/b&gt;&lt;/span&gt;
&lt;span class="ml"&gt;&lt;span class="explanation_tag"&gt;イメージ&lt;/span&gt;
その人のマインド（one's mind）を作り上げる（make up）ことから「決心する」という意味になる。&lt;/span&gt;</t>
  </si>
  <si>
    <t>&lt;span class="w"&gt;&lt;b&gt;【95.do one's best：最善を尽くす】&lt;/b&gt;&lt;/span&gt;
&lt;span class="ml"&gt;&lt;span class="explanation_tag"&gt;イメージ&lt;/span&gt;
その人のベスト（one's best）を行う（do）ことから「最善を尽くす, ベストを尽くす」という意味になる。&lt;/span&gt;</t>
  </si>
  <si>
    <t>&lt;span class="w"&gt;&lt;b&gt;【96.keep one's promise / word：約束を守る】&lt;/b&gt;&lt;/span&gt;
&lt;span class="ml"&gt;&lt;span class="explanation_tag"&gt;イメージ&lt;/span&gt;
その人の約束（one's promise / word）をキープするので「約束を守る」という意味になる。&lt;/span&gt;</t>
  </si>
  <si>
    <t>&lt;span class="w"&gt;&lt;b&gt;【97.get lost：道に迷う】&lt;/b&gt;&lt;/span&gt;
&lt;span class="ml"&gt;&lt;span class="explanation_tag"&gt;イメージ&lt;/span&gt;
getは「ある状態になる」を意味し、lost（失われた）は「見失われた, 迷子の」を意味する。そこから迷子の状態になる、すなわち「道に迷う」という意味になる。&lt;/span&gt;</t>
  </si>
  <si>
    <t>&lt;span class="w"&gt;&lt;b&gt;【98.enjoy oneself：楽しい時を過ごす】&lt;/b&gt;&lt;/span&gt;
&lt;span class="ml"&gt;&lt;span class="explanation_tag"&gt;イメージ&lt;/span&gt;
直訳すると「自分自身を楽しむ」だが、自分自身がいる場所とその時間の全体を楽しむというイメージになる。&lt;/span&gt;</t>
  </si>
  <si>
    <t>&lt;span class="w"&gt;&lt;b&gt;【99.have ~ off：〜を休みとして取る】&lt;/b&gt;&lt;/span&gt;
&lt;span class="ml"&gt;&lt;span class="explanation_tag"&gt;イメージ&lt;/span&gt;
offは「分離」を表す。日常のルーティンや仕事のスケジュールなどから、ある一定の期間を取って（have）離す（off）ことから「〜を休みとして取る」という意味になる。&lt;/span&gt;</t>
  </si>
  <si>
    <t>&lt;span class="w"&gt;&lt;b&gt;【102.look forward to 名詞 / 動名詞：〜を楽しみに待つ】&lt;/b&gt;&lt;/span&gt;
&lt;span class="ml"&gt;&lt;span class="explanation_tag"&gt;イメージ&lt;/span&gt;
［look forward］は、前方へ視線を向けることを表す。
［to 名詞］は視線の到達点＝視線が向かう対象を示す。
&lt;span class="spacer"&gt;&lt;/span&gt;［S look forward to 名詞］になると、Sは視線を前方に向け、その先にある対象（名詞）を見るというイメージになる。つまり、いま目の前にあることではなく、これから待ち受けている対象を見ていて「楽しみにしている」という意味になる。&lt;/span&gt;</t>
    <rPh sb="45" eb="48">
      <t>ドウメイシ</t>
    </rPh>
    <phoneticPr fontId="1"/>
  </si>
  <si>
    <t>&lt;span class="w"&gt;&lt;b&gt;【105.fall in love with ~：〜を大好きになる, 〜と恋に落ちる】&lt;/b&gt;&lt;/span&gt;
&lt;span class="ml"&gt;&lt;span class="explanation_tag"&gt;イメージ&lt;/span&gt;
［fall in A］は、Aの中に落ちることを表す。ここでは、落ちる対象が［love with A（Aと結びついたlove）］なので、Aが大好きという状況に落ちていくというイメージ。そこから「Aを大好きになる, Aと恋に落ちる」という意味になる。&lt;/span&gt;</t>
  </si>
  <si>
    <t>&lt;span class="w"&gt;&lt;b&gt;【107.had better do：〜した方がよい】&lt;/b&gt;&lt;/span&gt;
&lt;span class="ml"&gt;&lt;span class="explanation_tag"&gt;語源&lt;/span&gt;
&lt;strong&gt;me&lt;/strong&gt; were betere［古英語］
（it would be better for me.）
&lt;span class="spacer"&gt;&lt;/span&gt;meが主格Iへ変化
&lt;strong&gt;I&lt;/strong&gt; were betere［中英語］
&lt;span class="spacer"&gt;&lt;/span&gt;wereがhadへ変化
I &lt;strong&gt;had&lt;/strong&gt; better［近代英語］
&lt;span class="spacer"&gt;&lt;/span&gt;古英語で用いられていた表現は、仮定法過去wereが使われて「（何かがあれば / なければ）〜にとってより良いだろう」ということを表した。
&lt;span class="spacer"&gt;&lt;/span&gt;古英語の時代は、現代英語のI - my - me - mineのような格変化が各品詞で存在しており、文のどこに置いてもその単語の役割が明らかであったため、語順が今のように厳格ではなかった。
&lt;span class="spacer"&gt;&lt;/span&gt;しかし中英語期になると、格変化が消失し、［主語＋動詞］という語順が基本の言語へと変化していく。そのため古英語のme（私にとって）は、中英語で主格のI（私は）に変化した。
&lt;span class="spacer"&gt;&lt;/span&gt;近代英語期になると、I were betterでは「私がより良い」という違和感のある意味に捉えられたせいなのか、仮定法過去wereが、仮定法過去hadへと置き換えられて［had better］になっていった。
&lt;span class="spacer"&gt;&lt;/span&gt;&lt;span class="explanation_tag"&gt;イメージ&lt;/span&gt;
［had better］は、もともとは仮定法過去のhadだが、仮定法であるという意識は既に消えており、この1セットで助動詞として使われる。
そのため［had better &lt;strong&gt;do&lt;/strong&gt;］のように原形doが続く。
&lt;span class="spacer"&gt;&lt;/span&gt;また否定文では［had better &lt;strong&gt;not&lt;/strong&gt; do］のように、had betterの後にnotを置く。
&lt;span class="spacer"&gt;&lt;/span&gt;&lt;span class="explanation_tag"&gt;補足&lt;/span&gt;
［had better do］のhadは、もともとは仮定法過去。そのため「〜した方がよい」という裏には「〜しなかった場合はよくない」というニュアンスが隠れていた。
&lt;span class="spacer"&gt;&lt;/span&gt;現代では「had＝仮定法過去」という&lt;strong&gt;意識はない&lt;/strong&gt;が、このニュアンスが残っている。そのため単なるアドバイスではなく、「しないとよくない」という警告感がある。&lt;/span&gt;</t>
  </si>
  <si>
    <t>had better do</t>
    <phoneticPr fontId="1"/>
  </si>
  <si>
    <t>&lt;span class="w"&gt;&lt;b&gt;【108.help A with B：AをBに関して助ける】&lt;/b&gt;&lt;/span&gt;
&lt;span class="ml"&gt;&lt;span class="explanation_tag"&gt;イメージ&lt;/span&gt;
withは「一緒に」や「付帯」を表す機能があるが、核になるのは「くっついている」感じ。
&lt;span class="spacer"&gt;&lt;/span&gt;［help A with B］は、BがくっついているAを助けるというイメージから「Bに関してAを助ける」という意味になる。&lt;/span&gt;</t>
  </si>
  <si>
    <t>help A with B</t>
    <phoneticPr fontId="1"/>
  </si>
  <si>
    <t>prefer A to B</t>
    <phoneticPr fontId="1"/>
  </si>
  <si>
    <t>&lt;span class="w"&gt;&lt;b&gt;【110.turn A into B：AをBに変える】&lt;/b&gt;&lt;/span&gt;
&lt;span class="ml"&gt;&lt;span class="explanation_tag"&gt;イメージ&lt;/span&gt;
［turn A into B］は、Aの向きを変えてBの中へ入れるイメージから「AをBに変える」という意味になる。&lt;/span&gt;</t>
  </si>
  <si>
    <t>turn A into B</t>
    <phoneticPr fontId="1"/>
  </si>
  <si>
    <t>prevent A from B</t>
    <phoneticPr fontId="1"/>
  </si>
  <si>
    <t>&lt;span class="w"&gt;&lt;b&gt;【112.remind A of / about B：AにBを思い出させる】&lt;/b&gt;&lt;/span&gt;
&lt;span class="ml"&gt;&lt;span class="explanation_tag"&gt;語源&lt;/span&gt;
remindは、近代においてre（再び）と、mind（気にかける）が合わさってできた語。忘れていたことに対して再び注意が向くことから「思い出させる」という意味になった。
&lt;span class="spacer"&gt;&lt;/span&gt;&lt;span class="explanation_tag"&gt;イメージ&lt;/span&gt;
［remind A of B］のofは「分離」を表す。頭の中の記憶全体やイメージ全体からＢがポンと分離されて、それに注意が向くイメージから、「ＡにＢを思い出させる」という意味になる。
&lt;span class="spacer"&gt;&lt;/span&gt;［remind A about B］のaboutは「関すること」を表す。Bに関することに注意を向けさせることから、「AにBを思い出させる, 念を押す」という意味になる。&lt;/span&gt;</t>
    <rPh sb="50" eb="51">
      <t>オモ</t>
    </rPh>
    <rPh sb="52" eb="53">
      <t>ダ</t>
    </rPh>
    <rPh sb="134" eb="136">
      <t>キンダイ</t>
    </rPh>
    <rPh sb="143" eb="144">
      <t>フタタ</t>
    </rPh>
    <rPh sb="153" eb="154">
      <t>キ</t>
    </rPh>
    <rPh sb="160" eb="161">
      <t>ア</t>
    </rPh>
    <rPh sb="168" eb="169">
      <t>ゴ</t>
    </rPh>
    <rPh sb="170" eb="171">
      <t>ワス</t>
    </rPh>
    <rPh sb="178" eb="179">
      <t>タイ</t>
    </rPh>
    <rPh sb="181" eb="182">
      <t>フタタ</t>
    </rPh>
    <rPh sb="301" eb="303">
      <t>ブンリ</t>
    </rPh>
    <rPh sb="305" eb="306">
      <t>アラワ</t>
    </rPh>
    <rPh sb="308" eb="309">
      <t>アタマ</t>
    </rPh>
    <rPh sb="310" eb="311">
      <t>ナカ</t>
    </rPh>
    <rPh sb="312" eb="314">
      <t>キオク</t>
    </rPh>
    <rPh sb="314" eb="316">
      <t>ゼンタイ</t>
    </rPh>
    <rPh sb="321" eb="323">
      <t>ゼンタイ</t>
    </rPh>
    <rPh sb="330" eb="332">
      <t>ブンリ</t>
    </rPh>
    <rPh sb="339" eb="341">
      <t>チュウイ</t>
    </rPh>
    <rPh sb="342" eb="343">
      <t>ム</t>
    </rPh>
    <rPh sb="356" eb="357">
      <t>オモ</t>
    </rPh>
    <rPh sb="358" eb="359">
      <t>ダ</t>
    </rPh>
    <rPh sb="366" eb="368">
      <t>イミ</t>
    </rPh>
    <rPh sb="427" eb="428">
      <t>カン</t>
    </rPh>
    <rPh sb="439" eb="440">
      <t>カン</t>
    </rPh>
    <rPh sb="445" eb="447">
      <t>チュウイ</t>
    </rPh>
    <rPh sb="448" eb="449">
      <t>ム</t>
    </rPh>
    <rPh sb="463" eb="464">
      <t>オモ</t>
    </rPh>
    <rPh sb="465" eb="466">
      <t>ダ</t>
    </rPh>
    <rPh sb="471" eb="472">
      <t>ネン</t>
    </rPh>
    <rPh sb="473" eb="474">
      <t>オ</t>
    </rPh>
    <rPh sb="479" eb="481">
      <t>イミ</t>
    </rPh>
    <phoneticPr fontId="1"/>
  </si>
  <si>
    <t>remind A of / about B</t>
    <phoneticPr fontId="1"/>
  </si>
  <si>
    <t>&lt;span class="w"&gt;&lt;b&gt;【113.regard A as B：AをBと見なす】&lt;/b&gt;&lt;/span&gt;
&lt;span class="ml"&gt;&lt;span class="explanation_tag"&gt;語源&lt;/span&gt;
regardは、古フランス語re（強意）と、garder（見る, 注意する）が合わさってできた語。このgard部分は、監視員・警備員・警戒を表すguard（ガード）と同じ。どちらも「（注意して）見る」が核になっている。
&lt;span class="spacer"&gt;&lt;/span&gt;&lt;span class="explanation_tag"&gt;イメージ&lt;/span&gt;
regardのgardが「見る」なので「AをBとして見なす」という意味になる。&lt;/span&gt;</t>
    <rPh sb="42" eb="43">
      <t>ミ</t>
    </rPh>
    <rPh sb="123" eb="124">
      <t>コ</t>
    </rPh>
    <rPh sb="128" eb="129">
      <t>ゴ</t>
    </rPh>
    <rPh sb="132" eb="134">
      <t>キョウイ</t>
    </rPh>
    <rPh sb="144" eb="145">
      <t>ミ</t>
    </rPh>
    <rPh sb="148" eb="150">
      <t>チュウイ</t>
    </rPh>
    <rPh sb="154" eb="155">
      <t>ア</t>
    </rPh>
    <rPh sb="162" eb="163">
      <t>ゴ</t>
    </rPh>
    <rPh sb="170" eb="172">
      <t>ブブン</t>
    </rPh>
    <rPh sb="174" eb="177">
      <t>カンシイン</t>
    </rPh>
    <rPh sb="178" eb="181">
      <t>ケイビイン</t>
    </rPh>
    <rPh sb="182" eb="184">
      <t>ケイカイ</t>
    </rPh>
    <rPh sb="185" eb="186">
      <t>アラワ</t>
    </rPh>
    <rPh sb="198" eb="199">
      <t>オナ</t>
    </rPh>
    <rPh sb="207" eb="209">
      <t>チュウイ</t>
    </rPh>
    <rPh sb="212" eb="213">
      <t>ミ</t>
    </rPh>
    <rPh sb="216" eb="217">
      <t>カク</t>
    </rPh>
    <rPh sb="308" eb="309">
      <t>ミ</t>
    </rPh>
    <rPh sb="321" eb="322">
      <t>ミ</t>
    </rPh>
    <rPh sb="328" eb="330">
      <t>イミ</t>
    </rPh>
    <phoneticPr fontId="1"/>
  </si>
  <si>
    <t>regard A as B</t>
    <phoneticPr fontId="1"/>
  </si>
  <si>
    <t>&lt;span class="w"&gt;&lt;b&gt;【114.associate A with B：AをBと結び付けて考える】&lt;/b&gt;&lt;/span&gt;
&lt;span class="ml"&gt;&lt;span class="explanation_tag"&gt;語源&lt;/span&gt;
associateは、ラテン語ad（〜へ）と、sociare（仲間にする, 結びつける）が合わさってできた語。後者は、現代英語societyとも関連する。
&lt;span class="spacer"&gt;&lt;/span&gt;人と人が結びついて一つの集団となることで形成されるのがsociety（社会）。
&lt;span class="spacer"&gt;&lt;/span&gt;あるものを何かへ（ad）結びつける（sociare）行為がassociate（結びつける）。
&lt;span class="spacer"&gt;&lt;/span&gt;&lt;span class="explanation_tag"&gt;イメージ&lt;/span&gt;
［associate A with B］は、語源の通り「AをBと結びつける」という意味になる。&lt;/span&gt;</t>
  </si>
  <si>
    <t>associate A with B</t>
    <phoneticPr fontId="1"/>
  </si>
  <si>
    <t>&lt;span class="w"&gt;&lt;b&gt;【115.inform A of / about B：AにBを知らせる】&lt;/b&gt;&lt;/span&gt;
&lt;span class="ml"&gt;&lt;span class="explanation_tag"&gt;語源&lt;/span&gt;
informは、ラテン語in（中に）と、formare（形作る）が合わさってできた語。対象の中に形を与えるということから、相手の中に知識の形を作ることへと発展して「知らせる」という意味になった。
&lt;span class="spacer"&gt;&lt;/span&gt;&lt;span class="explanation_tag"&gt;イメージ&lt;/span&gt;
［inform A of / about B］は、Bの / に関する情報をAの中に形作る、つまり「BをAに知らせる」という意味になる。
&lt;span class="spacer"&gt;&lt;/span&gt;&lt;span class="explanation_tag"&gt;補足&lt;/span&gt;
医療において、患者が治療などに関して十分な説明を受けた上で同意することをinformed consent（インフォームド・コンセント）と言う。&lt;/span&gt;</t>
  </si>
  <si>
    <t>inform A of / about B</t>
    <phoneticPr fontId="1"/>
  </si>
  <si>
    <t>&lt;span class="w"&gt;&lt;b&gt;【116.after all：結局】&lt;/b&gt;&lt;/span&gt;
&lt;span class="ml"&gt;&lt;span class="explanation_tag"&gt;イメージ&lt;/span&gt;
すべて（all）の後（after）なので、最終的であることを表して「結局」という意味になる。&lt;/span&gt;</t>
  </si>
  <si>
    <t>after all</t>
    <phoneticPr fontId="1"/>
  </si>
  <si>
    <t>&lt;span class="w"&gt;&lt;b&gt;【117.all the time：いつも, 常に】&lt;/b&gt;&lt;/span&gt;
&lt;span class="ml"&gt;&lt;span class="explanation_tag"&gt;イメージ&lt;/span&gt;
無冠詞timeはすべての時間＝史上を表すが、定冠詞付きのthe timeは、話し手と聞き手の間で暗黙に限定される時間を指す。
&lt;span class="spacer"&gt;&lt;/span&gt;その限定される時間（the time）すべて（all）なので「いつも, 常に」という意味になる。&lt;/span&gt;</t>
  </si>
  <si>
    <t>all the time</t>
    <phoneticPr fontId="1"/>
  </si>
  <si>
    <t>&lt;span class="w"&gt;&lt;b&gt;【118.all the way：ずっと, はるばる】&lt;/b&gt;&lt;/span&gt;
&lt;span class="ml"&gt;&lt;span class="explanation_tag"&gt;イメージ&lt;/span&gt;
一定の物理的な道のり・過程・時間（the way）の全部（all）なので「ずっと」という意味になる。
&lt;span class="spacer"&gt;&lt;/span&gt;またやってきた距離や労力を強調して「はるばる」という意味になる。&lt;/span&gt;</t>
  </si>
  <si>
    <t>all the way</t>
    <phoneticPr fontId="1"/>
  </si>
  <si>
    <t>~ and so on / forth</t>
    <phoneticPr fontId="1"/>
  </si>
  <si>
    <t>&lt;span class="w"&gt;&lt;b&gt;【120.and yet：それにも関わらず】&lt;/b&gt;&lt;/span&gt;
&lt;span class="ml"&gt;&lt;span class="explanation_tag"&gt;イメージ&lt;/span&gt;
yetは「いま現在まで」という継続が核のイメージ。中学英語では現在完了形の否定文と疑問文で登場し、「まだ」「もう」という訳で覚えるが、なぜそうなるのかは「yet＝いま現在まで」という核から理解できる。
&lt;span class="spacer"&gt;&lt;/span&gt;I haven't done it yet.
私は&lt;strong&gt;いま現在まで&lt;/strong&gt;それをしていない。
＝&lt;strong&gt;まだ&lt;/strong&gt;していない
&lt;span class="spacer"&gt;&lt;/span&gt;Have you done it yet?
あなたは&lt;strong&gt;いま現在まで&lt;/strong&gt;それをしましたか？
＝&lt;strong&gt;もう&lt;/strong&gt;しましたか？
&lt;span class="spacer"&gt;&lt;/span&gt;このようにyetは、いま現在までという「継続性」を表している。
&lt;span class="spacer"&gt;&lt;/span&gt;［A, and yet B］は、Aがそのまま（and）継続（yet）していながら、Aと反する内容のBが続くことから「それにもかかわらず」という日本語訳になる。
&lt;span class="spacer"&gt;&lt;/span&gt;つまりand yetは、前の部分から考えたら出る結論とは逆のBを導く。&lt;/span&gt;</t>
  </si>
  <si>
    <t>and yet</t>
    <phoneticPr fontId="1"/>
  </si>
  <si>
    <t>&lt;span class="w"&gt;&lt;b&gt;【121.as ~ as possible / one can：できるだけ〜】&lt;/b&gt;&lt;/span&gt;
&lt;span class="ml"&gt;&lt;span class="explanation_tag"&gt;イメージ&lt;/span&gt;
これはas ~ as …（…と同じくらい〜）の同等比較。比較対象はpossible / one canという可能性や能力の限界なので、可能な状態と同じくらい＝「可能な限り」という意味になる。&lt;/span&gt;</t>
  </si>
  <si>
    <t>as ~ as possible / one can</t>
    <phoneticPr fontId="1"/>
  </si>
  <si>
    <t>&lt;span class="w"&gt;&lt;b&gt;【122.as a result （of A）：（Aの）結果として】&lt;/b&gt;&lt;/span&gt;
&lt;span class="ml"&gt;そのまま日本語訳すれば「結果として」となる。&lt;/span&gt;</t>
  </si>
  <si>
    <t>&lt;span class="w"&gt;&lt;b&gt;【123.as a whole：全体として】&lt;/b&gt;&lt;/span&gt;
&lt;span class="ml"&gt;そのまま日本語訳すれば「全体として」となる。&lt;/span&gt;</t>
  </si>
  <si>
    <t>as a whole</t>
    <phoneticPr fontId="1"/>
  </si>
  <si>
    <t>&lt;span class="w"&gt;&lt;b&gt;【124.as usual：いつものように】&lt;/b&gt;&lt;/span&gt;
&lt;span class="ml"&gt;&lt;span class="explanation_tag"&gt;イメージ&lt;/span&gt;
as it is usualからit isが消えたと考えれば「いつものように」という意味になることがわかる。&lt;/span&gt;</t>
  </si>
  <si>
    <t>as usual</t>
    <phoneticPr fontId="1"/>
  </si>
  <si>
    <t>&lt;span class="w"&gt;&lt;b&gt;【125.at best：よくても, せいぜい】&lt;/b&gt;&lt;/span&gt;
&lt;span class="ml"&gt;&lt;span class="explanation_tag"&gt;イメージ&lt;/span&gt;
atは「点」を示す前置詞で、bestは「最高」を意味する。
at bestは「最も良くてもその点まで」という超えることのできない点を示して「よくても, せいぜい」という意味になる。&lt;/span&gt;</t>
  </si>
  <si>
    <t>at best</t>
    <phoneticPr fontId="1"/>
  </si>
  <si>
    <t>&lt;span class="w"&gt;&lt;b&gt;【126.at least：少なくとも】&lt;/b&gt;&lt;/span&gt;
&lt;span class="ml"&gt;&lt;span class="explanation_tag"&gt;イメージ&lt;/span&gt;
atは「点」を示す前置詞で、leastは「最も少ない」を意味する。
at leastは「最も少なくてもその点まで」という最低点を示して「少なくとも」という意味になる。&lt;/span&gt;</t>
  </si>
  <si>
    <t>at least</t>
    <phoneticPr fontId="1"/>
  </si>
  <si>
    <t>&lt;span class="w"&gt;&lt;b&gt;【127.at most：多くても】&lt;/b&gt;&lt;/span&gt;
&lt;span class="ml"&gt;&lt;span class="explanation_tag"&gt;イメージ&lt;/span&gt;
atは「点」を示す前置詞で、mostは「最も多い」を意味する。
at mostは「最も多くてもその点まで」という超えられない点を示して「多くても」という意味になる。&lt;/span&gt;</t>
  </si>
  <si>
    <t>at most</t>
    <phoneticPr fontId="1"/>
  </si>
  <si>
    <t>&lt;span class="w"&gt;&lt;b&gt;【128.at a time：一度に, 一回に】&lt;/b&gt;&lt;/span&gt;
&lt;span class="ml"&gt;このまま日本語にすると「一度 / 一回（a time）に（at）」という意味になる。three times（3回）のときのtimeだと考えればよい。
&lt;/span&gt;</t>
  </si>
  <si>
    <t>at a time</t>
    <phoneticPr fontId="1"/>
  </si>
  <si>
    <t>&lt;span class="w"&gt;&lt;b&gt;【129.at once：①同時に, ②すぐに】&lt;/b&gt;&lt;/span&gt;
&lt;span class="ml"&gt;&lt;span class="explanation_tag"&gt;語源&lt;/span&gt;
at onceは、13世紀初頭は「同時に」という意味で、その後1530年代から「すぐに」という意味が確認される。つまりat onceを理解する上で重要なのは「同時に」という意味の核。
&lt;span class="explanation_tag"&gt;イメージ&lt;/span&gt;
onceは「一回, 一つの瞬間」を意味する。ここに点を示すatが付くことで、その一回のピンポイントで何かを行う、あるいは何かが起こることを表して「同時に」という意味になる。
&lt;span class="spacer"&gt;&lt;/span&gt;また、何かを時間をかけて行うのではなく、その一回のピンポイントで全てを行うことから「すぐに」という意味になる。&lt;/span&gt;</t>
  </si>
  <si>
    <t>at once</t>
    <phoneticPr fontId="1"/>
  </si>
  <si>
    <t>at all</t>
    <phoneticPr fontId="1"/>
  </si>
  <si>
    <t>at any rate</t>
    <phoneticPr fontId="1"/>
  </si>
  <si>
    <t>&lt;span class="w"&gt;&lt;b&gt;【132.at random：ランダムに, 無作為に】&lt;/b&gt;&lt;/span&gt;
&lt;span class="ml"&gt;このまま日本語にすると「ランダムに」という意味になる。
&lt;span class="spacer"&gt;&lt;/span&gt;&lt;span class="explanation_tag"&gt;語源&lt;/span&gt;
randomは、古フランス語randir（速く走る）に由来するが、さらにさかのぼると現代英語runと同じ印欧祖語にたどり着く。
&lt;span class="spacer"&gt;&lt;/span&gt;at rondomは1560年代に見られ、当時は「非常な速さで」という意味だった。コントロールが効かずどうなるかわからないくらい速い速度で移動する様子から「無作為に」という意味へと発展した。
&lt;span class="spacer"&gt;&lt;/span&gt;馬が暴走して全速力で走る様子を想像するとわかりやすい。&lt;/span&gt;</t>
  </si>
  <si>
    <t>at random</t>
    <phoneticPr fontId="1"/>
  </si>
  <si>
    <t>more or less</t>
    <phoneticPr fontId="1"/>
  </si>
  <si>
    <t>&lt;span class="w"&gt;&lt;b&gt;【134.at times：ときどき】&lt;/b&gt;&lt;/span&gt;
&lt;span class="ml"&gt;&lt;span class="explanation_tag"&gt;イメージ&lt;/span&gt;
at timesは、一本の時間の流れを複数に切り分けて（times）、それを点（at）で指し示すイメージ。そこから「ときどき」という意味になる。&lt;/span&gt;</t>
  </si>
  <si>
    <t>between you and me</t>
    <phoneticPr fontId="1"/>
  </si>
  <si>
    <t>&lt;span class="w"&gt;&lt;b&gt;【135.between you and me：ここだけの話だが】&lt;/b&gt;&lt;/span&gt;
&lt;span class="ml"&gt;&lt;span class="explanation_tag"&gt;イメージ&lt;/span&gt;
何かの話をするときに「（この話は）あなたと私の間だけ」つまり他言NGであることを表して「ここだけの話」という意味になる。&lt;/span&gt;</t>
  </si>
  <si>
    <t>by hand</t>
    <phoneticPr fontId="1"/>
  </si>
  <si>
    <t>&lt;span class="w"&gt;&lt;b&gt;【136.by hand：手で】&lt;/b&gt;&lt;/span&gt;
&lt;span class="ml"&gt;手段を表すby（〜で, 〜によって）なので、そのまま「手で」という意味になる。&lt;/span&gt;</t>
  </si>
  <si>
    <t>by mistake</t>
    <phoneticPr fontId="1"/>
  </si>
  <si>
    <t>&lt;span class="w"&gt;&lt;b&gt;【137.by mistake：間違って】&lt;/b&gt;&lt;/span&gt;
&lt;span class="ml"&gt;そのまま日本語にすれば「間違い（mistake）によって（by）」＝「間違えて」という意味になる。&lt;/span&gt;</t>
  </si>
  <si>
    <t>by no means</t>
    <phoneticPr fontId="1"/>
  </si>
  <si>
    <t>&lt;span class="w"&gt;&lt;b&gt;【138.by no means：全然〜ない】&lt;/b&gt;&lt;/span&gt;
&lt;span class="ml"&gt;&lt;span class="explanation_tag"&gt;語源&lt;/span&gt;
meansは、ラテン語medius（中間に）に由来する。行動と目的の間にあるものとして「手段」という意味になった。
&lt;span class="spacer"&gt;&lt;/span&gt;by no meansという表現は、15世紀後期から見られる。
&lt;span class="spacer"&gt;&lt;/span&gt;&lt;span class="explanation_tag"&gt;イメージ&lt;/span&gt;
noはゼロを意味するので、by no meansはゴール（結論）へ至る手段が一つもないことを表す。どんな手段を取ってもありえないということから「全然〜ない, 決して〜ない」という強い否定を意味する。
&lt;span class="spacer"&gt;&lt;/span&gt;It’s by no means easy.
＝It's easyに至るmeansはない（no）
＝全然簡単ではない&lt;/span&gt;</t>
  </si>
  <si>
    <t>by the way</t>
    <phoneticPr fontId="1"/>
  </si>
  <si>
    <t>far from ~</t>
    <phoneticPr fontId="1"/>
  </si>
  <si>
    <t>for a while</t>
    <phoneticPr fontId="1"/>
  </si>
  <si>
    <t>&lt;span class="w"&gt;&lt;b&gt;【141.for a while：しばらくの間】&lt;/b&gt;&lt;/span&gt;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class="spacer"&gt;&lt;/span&gt;この名詞としての意味は、ほとんどtimeに代わられてしまったが、一部のフレーズに残っている。その一つがfor a whileである。
&lt;span class="spacer"&gt;&lt;/span&gt;&lt;span class="explanation_tag"&gt;イメージ&lt;/span&gt;
期間を示すforとa while（ある一定の時間）が合わさることで「しばらくの間」という意味になる。&lt;/span&gt;</t>
  </si>
  <si>
    <t>for example / instance</t>
    <phoneticPr fontId="1"/>
  </si>
  <si>
    <t>for one thing</t>
    <phoneticPr fontId="1"/>
  </si>
  <si>
    <t>&lt;span class="w"&gt;&lt;b&gt;【143.for one thing：ひとつには】&lt;/b&gt;&lt;/span&gt;
&lt;span class="ml"&gt;これは文字通り、理由をひとつ挙げる表現。&lt;/span&gt;</t>
  </si>
  <si>
    <t>in a hurry</t>
    <phoneticPr fontId="1"/>
  </si>
  <si>
    <t>&lt;span class="w"&gt;&lt;b&gt;【144.in a hurry：急いで】&lt;/b&gt;&lt;/span&gt;
&lt;span class="ml"&gt;&lt;span class="explanation_tag"&gt;語源&lt;/span&gt;
［in a hurry］は1700年頃から見られる表現。急いでいる状態（a hurry）の中に（in）いることから「急いで」という意味になる。&lt;/span&gt;</t>
  </si>
  <si>
    <t>&lt;span class="w"&gt;&lt;b&gt;【145.in addition（to 名詞）：（〜に）加えて, さらに】&lt;/b&gt;&lt;/span&gt;
&lt;span class="ml"&gt;&lt;span class="explanation_tag"&gt;イメージ&lt;/span&gt;
additionは、add（加える）の名詞で「加えること, 追加」を意味する。「何かに対して（to）追加すること（addition）において（in）」というイメージ。&lt;/span&gt;</t>
    <rPh sb="39" eb="41">
      <t>メイシ</t>
    </rPh>
    <phoneticPr fontId="1"/>
  </si>
  <si>
    <t>in any case / event</t>
    <phoneticPr fontId="1"/>
  </si>
  <si>
    <t>in detail</t>
    <phoneticPr fontId="1"/>
  </si>
  <si>
    <t>in fact</t>
    <phoneticPr fontId="1"/>
  </si>
  <si>
    <t>&lt;span class="w"&gt;&lt;b&gt;【148.in fact：①実際には, ②ところが実際には】&lt;/b&gt;&lt;/span&gt;
&lt;span class="ml"&gt;このまま日本語にすると「実際には」となる。文脈によって事実の補強や逆接的な表現となる。&lt;/span&gt;</t>
  </si>
  <si>
    <t>in general</t>
    <phoneticPr fontId="1"/>
  </si>
  <si>
    <t>&lt;span class="w"&gt;&lt;b&gt;【149.in general：①一般に, ②一般の＜名詞＞】&lt;/b&gt;&lt;/span&gt;
&lt;span class="ml"&gt;&lt;span class="explanation_tag"&gt;語源&lt;/span&gt;
generalは、印欧祖語*gene-（生む）、そしてラテン語genus（種, 種類）に由来する。同じ種の中に生まれた全体を指して「一般の」や「全般の」という意味になった。
&lt;span class="spacer"&gt;&lt;/span&gt;&lt;span class="explanation_tag"&gt;イメージ&lt;/span&gt;
in generalは、（種）全体に目を向けて「一般に, 一般の」という一般論を形成する。&lt;/span&gt;</t>
  </si>
  <si>
    <t>in other words</t>
    <phoneticPr fontId="1"/>
  </si>
  <si>
    <t>&lt;span class="w"&gt;&lt;b&gt;【150.in other words：言い換えれば, つまり】&lt;/b&gt;&lt;/span&gt;
&lt;span class="ml"&gt;そのまま日本語にすると「他の言葉では」となる。［A in other words B］は、Aを別の言葉Bで表現しなおすので「言い換えれば, つまり」という意味になる。&lt;/span&gt;</t>
  </si>
  <si>
    <t>in public</t>
    <phoneticPr fontId="1"/>
  </si>
  <si>
    <t>&lt;span class="w"&gt;&lt;b&gt;【151.in public：人前で, 公で】&lt;/b&gt;&lt;/span&gt;
&lt;span class="ml"&gt;&lt;span class="explanation_tag"&gt;語源&lt;/span&gt;
publicは、ラテン語populus（人々）に由来する。このラテン語はpeopleの語源でもあり、特定の個人ではなく人々全体に開かれていることから「公の」という意味になった。
&lt;span class="spacer"&gt;&lt;/span&gt;&lt;span class="explanation_tag"&gt;イメージ&lt;/span&gt;
publicは、private（プライベート）の反対で「公」を表す。そこから「公で, 人前で」という意味になる。&lt;/span&gt;</t>
  </si>
  <si>
    <t>in reality</t>
    <phoneticPr fontId="1"/>
  </si>
  <si>
    <t>&lt;span class="w"&gt;&lt;b&gt;【152.in reality：実際には, 現実に】&lt;/b&gt;&lt;/span&gt;
&lt;span class="ml"&gt;これは想像・印象・理論に対して現実を提示する表現。そこから「（ところが）実際には」や「（想像ではなく）現実に」という意味になる。&lt;/span&gt;</t>
  </si>
  <si>
    <t>in the end</t>
    <phoneticPr fontId="1"/>
  </si>
  <si>
    <t>&lt;span class="w"&gt;&lt;b&gt;【153.in the end：結局は, ついには】&lt;/b&gt;&lt;/span&gt;
&lt;span class="ml"&gt;endは「終わり, 最後」なので、そのまま日本語にすれば「結局は, ついには」という最後を表す表現になる。&lt;/span&gt;</t>
  </si>
  <si>
    <t>in the future</t>
    <phoneticPr fontId="1"/>
  </si>
  <si>
    <t>&lt;span class="w"&gt;&lt;b&gt;【154.in the future：将来は, 今後は】&lt;/b&gt;&lt;/span&gt;
&lt;span class="ml"&gt;&lt;span class="explanation_tag"&gt;語源&lt;/span&gt;
futureは、ラテン語ease（存在する, 〜である）の未来分詞futurus（これから存在するだろう, 起ころうとしている）に由来する。
&lt;span class="spacer"&gt;&lt;/span&gt;&lt;span class="explanation_tag"&gt;イメージ&lt;/span&gt;
現代英語で考えると、be動詞の未来形が名詞として「将来, 未来」になったという感じ。
［in the future］は、そのまま「将来は」という意味になる。&lt;/span&gt;</t>
  </si>
  <si>
    <t>in the long run</t>
    <phoneticPr fontId="1"/>
  </si>
  <si>
    <t>&lt;span class="w"&gt;&lt;b&gt;【155.in the long run：長い目で見れば】&lt;/b&gt;&lt;/span&gt;
&lt;span class="ml"&gt;&lt;span class="explanation_tag"&gt;イメージ&lt;/span&gt;
名詞runは、動詞から派生したもの。
動詞runは「走る」だけではなく、川が流れる・液体が流れる・範囲が及ぶ・時間が流れるといった意味があるが、［in the long run］の名詞runは、時間が流れて続くこと＝「期間」を意味する。
&lt;span class="spacer"&gt;&lt;/span&gt;［in the long run］は、直訳すると「長い期間では」となる。長期的に捉えることを表して「長い目で見れば」という意味になる。
&lt;span class="spacer"&gt;&lt;/span&gt;&lt;span class="explanation_tag"&gt;補足&lt;/span&gt;
舞台などが長い期間にわたって公演されることを、日本語でも「ロングラン公演」と言う。&lt;/span&gt;</t>
  </si>
  <si>
    <t>no doubt</t>
    <phoneticPr fontId="1"/>
  </si>
  <si>
    <t>&lt;span class="w"&gt;&lt;b&gt;【156.no doubt：おそらく, たぶん】&lt;/b&gt;&lt;/span&gt;
&lt;span class="ml"&gt;&lt;span class="explanation_tag"&gt;イメージ&lt;/span&gt;
［no doubt］は、疑い（doubt）がゼロ（no）であることを表す。日本語訳は「おそらく, たぶん」となっているが、その核は疑いがないこと。「まず間違いなく」＝「おそらく」という推量表現だと覚えればよい。&lt;/span&gt;</t>
  </si>
  <si>
    <t>no longer ~</t>
    <phoneticPr fontId="1"/>
  </si>
  <si>
    <t>&lt;span class="w"&gt;&lt;b&gt;【157.no longer ~：もはや〜ない】&lt;/b&gt;&lt;/span&gt;
&lt;span class="ml"&gt;&lt;span class="explanation_tag"&gt;イメージ&lt;/span&gt;
［no longer］は、比較級longerの前にno（ゼロ）が付いているので、「より長い」が打ち消されて「もう長くならない」となる。
&lt;span class="spacer"&gt;&lt;/span&gt;以前の状態がこれより長くなることはない、すなわち「もはや〜ない」という意味になる。&lt;/span&gt;</t>
  </si>
  <si>
    <t>not always ~</t>
    <phoneticPr fontId="1"/>
  </si>
  <si>
    <t>&lt;span class="w"&gt;&lt;b&gt;【158.not always ~：いつも〜とは限らない】&lt;/b&gt;&lt;/span&gt;
&lt;span class="ml"&gt;&lt;span class="explanation_tag"&gt;イメージ&lt;/span&gt;
［always ~］は「いつも〜」という100％を表す。
これをnotで否定するわけだが、その際、100％のすべてを否定する必要はない。つまり「いつも〜ない」という否定にしなくてもよい。
&lt;span class="spacer"&gt;&lt;/span&gt;100％であることを否定するには、その中の一つを否定し、100％とは限らない＝「いつも〜とは限らない」とすればよい。
&lt;span class="spacer"&gt;&lt;/span&gt;たとえば「丸はいつも白色である」という文があるとする。
◯◯◯◯◯ …
これを否定するとき、すべてを黒丸に変えるのではなく、一つを黒丸にすれば、「いつも〜」は否定（not）される。
◯◯●◯◯ …&lt;/span&gt;</t>
  </si>
  <si>
    <t>on earth</t>
    <phoneticPr fontId="1"/>
  </si>
  <si>
    <t>&lt;span class="w"&gt;&lt;b&gt;【159.on earth：①（疑問文で）一体全体, ②（最上級で）世界中で】&lt;/b&gt;&lt;/span&gt;
&lt;span class="ml"&gt;&lt;span class="explanation_tag"&gt;イメージ&lt;/span&gt;
on earth・in the world・the hellなど、圧倒的なスケールの言葉を使って疑問の程度を強調する。
&lt;span class="spacer"&gt;&lt;/span&gt;最上級の強調表現は、文字通りの意味。
&lt;/span&gt;</t>
  </si>
  <si>
    <t>on the other hand</t>
    <phoneticPr fontId="1"/>
  </si>
  <si>
    <t>&lt;span class="w"&gt;&lt;b&gt;【160.on the other hand：他方では】&lt;/b&gt;&lt;/span&gt;
&lt;span class="ml"&gt;&lt;span class="explanation_tag"&gt;イメージ&lt;/span&gt;
［one ~ , the other …］（一方は〜、他方は…）と関連させて考えればよい。
［on the other hand］は、両手のうち、一方の手である事柄を指し示し、他方の手で別の事柄を指し示す感じ。最初の「一方の手（one hand）」は、既に述べられている事柄を指す。&lt;/span&gt;</t>
  </si>
  <si>
    <t>so far</t>
    <phoneticPr fontId="1"/>
  </si>
  <si>
    <t>sooner or later</t>
    <phoneticPr fontId="1"/>
  </si>
  <si>
    <t>&lt;span class="w"&gt;&lt;b&gt;【162.sooner or later：遅かれ早かれ, そのうち】&lt;/b&gt;&lt;/span&gt;
&lt;span class="ml"&gt;そのまま日本語にすれば「早くても遅くても（いずれそうなる）」ということから「遅かれ早かれ, そのうち」という意味になる。&lt;/span&gt;</t>
  </si>
  <si>
    <t>these days</t>
    <phoneticPr fontId="1"/>
  </si>
  <si>
    <t>&lt;span class="w"&gt;&lt;b&gt;【163.these days：最近は】&lt;/b&gt;&lt;/span&gt;
&lt;span class="ml"&gt;&lt;span class="explanation_tag"&gt;語源&lt;/span&gt;
これは、1936年までに見られる新しい言葉。
&lt;span class="spacer"&gt;&lt;/span&gt;&lt;span class="explanation_tag"&gt;イメージ&lt;/span&gt;
話し手から近い距離のものを指すtheseを使うことで、いま現在に近い日々を指して「最近は」という意味になる。
&lt;span class="spacer"&gt;&lt;/span&gt;&lt;span class="explanation_tag"&gt;補足&lt;/span&gt;
距離の遠いthoseを使ったin those daysは「当時」という意味になる。&lt;/span&gt;</t>
  </si>
  <si>
    <t>according to ~</t>
    <phoneticPr fontId="1"/>
  </si>
  <si>
    <t>owing / due to ~</t>
    <phoneticPr fontId="1"/>
  </si>
  <si>
    <t>thanks to ~</t>
    <phoneticPr fontId="1"/>
  </si>
  <si>
    <t>&lt;span class="w"&gt;&lt;b&gt;【166.thanks to ~：〜のおかげで】&lt;/b&gt;&lt;/span&gt;
&lt;span class="ml"&gt;これは「〜に対しての感謝」という表現から「〜のおかげ」という意味になる。
&lt;span class="spacer"&gt;&lt;/span&gt;名詞thanksは常に複数形。
&lt;span class="spacer"&gt;&lt;/span&gt;良い原因だけではなく、皮肉で悪いことに対しても使用する。
Thanks to the traffic, I missed my train.
渋滞のおかげで（せいで）電車に乗り遅れた。&lt;/span&gt;</t>
  </si>
  <si>
    <t>in spite of ~</t>
    <phoneticPr fontId="1"/>
  </si>
  <si>
    <t>all over (~)</t>
    <phoneticPr fontId="1"/>
  </si>
  <si>
    <t>apart from ~</t>
    <phoneticPr fontId="1"/>
  </si>
  <si>
    <t>aside from ~</t>
    <phoneticPr fontId="1"/>
  </si>
  <si>
    <t>ahead of ~</t>
    <phoneticPr fontId="1"/>
  </si>
  <si>
    <t>in preparation for ~</t>
    <phoneticPr fontId="1"/>
  </si>
  <si>
    <t>each other</t>
    <phoneticPr fontId="1"/>
  </si>
  <si>
    <t>A as well as B</t>
    <phoneticPr fontId="1"/>
  </si>
  <si>
    <t>Something is wrong with ~ .</t>
    <phoneticPr fontId="1"/>
  </si>
  <si>
    <t>come about</t>
    <phoneticPr fontId="1"/>
  </si>
  <si>
    <t>come by ~</t>
    <phoneticPr fontId="1"/>
  </si>
  <si>
    <t>find fault with ~</t>
    <phoneticPr fontId="1"/>
  </si>
  <si>
    <t>get over ~</t>
    <phoneticPr fontId="1"/>
  </si>
  <si>
    <t>hand in ~</t>
    <phoneticPr fontId="1"/>
  </si>
  <si>
    <t>learn ~ by heart</t>
    <phoneticPr fontId="1"/>
  </si>
  <si>
    <t>look into ~</t>
    <phoneticPr fontId="1"/>
  </si>
  <si>
    <t>look over ~</t>
    <phoneticPr fontId="1"/>
  </si>
  <si>
    <t>put together ~</t>
    <phoneticPr fontId="1"/>
  </si>
  <si>
    <t>put up ~</t>
    <phoneticPr fontId="1"/>
  </si>
  <si>
    <t>put up with ~</t>
    <phoneticPr fontId="1"/>
  </si>
  <si>
    <t>set about ~</t>
    <phoneticPr fontId="1"/>
  </si>
  <si>
    <t>set in</t>
    <phoneticPr fontId="1"/>
  </si>
  <si>
    <t>of importance</t>
    <phoneticPr fontId="1"/>
  </si>
  <si>
    <t>compensate for ~</t>
    <phoneticPr fontId="1"/>
  </si>
  <si>
    <t>&lt;span class="w"&gt;&lt;b&gt;【168.all over (~)：①（～の）至る所で, ②一面に, 全面に】&lt;/b&gt;&lt;/span&gt;
&lt;span class="ml"&gt;&lt;span class="explanation_tag"&gt;イメージ&lt;/span&gt;
overは上から覆うことを表し、それにall（全て）が付くので、全体を覆うイメージになる。そこから、ある対象の「至る所」や、何かの「一面に, 全面に」という意味になる。
&lt;span class="spacer"&gt;&lt;/span&gt;&lt;span class="explanation_tag"&gt;補足&lt;/span&gt;
overには、Game overのように「終わり」という意味もある。その意味の場合、all overは「すべて終わった」という意味になる。&lt;/span&gt;</t>
    <rPh sb="42" eb="43">
      <t>イタル</t>
    </rPh>
    <rPh sb="44" eb="45">
      <t>トコロ</t>
    </rPh>
    <rPh sb="49" eb="51">
      <t>イチメン</t>
    </rPh>
    <rPh sb="54" eb="56">
      <t>ゼンメン</t>
    </rPh>
    <rPh sb="142" eb="143">
      <t>アラワ</t>
    </rPh>
    <rPh sb="152" eb="153">
      <t>スベ</t>
    </rPh>
    <rPh sb="181" eb="183">
      <t>タイショウ</t>
    </rPh>
    <rPh sb="191" eb="192">
      <t>ナニ</t>
    </rPh>
    <rPh sb="195" eb="197">
      <t>イチメン</t>
    </rPh>
    <rPh sb="310" eb="312">
      <t>イミ</t>
    </rPh>
    <rPh sb="318" eb="320">
      <t>イミ</t>
    </rPh>
    <rPh sb="321" eb="323">
      <t>バアイ</t>
    </rPh>
    <phoneticPr fontId="1"/>
  </si>
  <si>
    <t>&lt;span class="w"&gt;&lt;b&gt;【171.ahead of ~：〜の先に, 〜の前に, 〜より進歩して】&lt;/b&gt;&lt;/span&gt;
&lt;span class="ml"&gt;&lt;span class="explanation_tag"&gt;語源&lt;/span&gt;
aheadは、1620年代にa（〜に）と、head（頭, 先頭）が合わさってできた語。もともとは航海用語で、船の先端方向に進ことを表した。
&lt;span class="spacer"&gt;&lt;/span&gt;空間的な「前方」だけではなく、時間的な「先」や、他のものに対する「先行, 進歩」も意味するようになった。
&lt;span class="spacer"&gt;&lt;/span&gt;&lt;span class="explanation_tag"&gt;イメージ&lt;/span&gt;
［ahead of A］は「Aの前方」というイメージを持っておけばよい。&lt;/span&gt;</t>
  </si>
  <si>
    <t>&lt;span class="w"&gt;&lt;b&gt;【172.in search of ~：〜を探して. 〜を求めて】&lt;/b&gt;&lt;/span&gt;
&lt;span class="ml"&gt;&lt;span class="explanation_tag"&gt;イメージ&lt;/span&gt;
［in search of A］は、Aという対象を（of）探索（search）している状態の中に（in）いるというイメージ。そこから「Aを探して, 求めて」という意味になる。&lt;/span&gt;</t>
  </si>
  <si>
    <t>&lt;span class="w"&gt;&lt;b&gt;【173.in preparation for ~：〜の準備して, 〜の準備中で】&lt;/b&gt;&lt;/span&gt;
&lt;span class="ml"&gt;&lt;span class="explanation_tag"&gt;イメージ&lt;/span&gt;
［in preparation for A］は、Aへの（for）準備（preparation）している状態の中に（in）いるというイメージ。そこから「Aの準備して, 準備中で」という意味になる。&lt;/span&gt;</t>
  </si>
  <si>
    <t>&lt;span class="w"&gt;&lt;b&gt;【174.each other：お互い】&lt;/b&gt;&lt;/span&gt;
&lt;span class="ml"&gt;&lt;span class="explanation_tag"&gt;イメージ&lt;/span&gt;
［each other］は、それぞれ（each）にとって他の方（other）と考えればよい。
&lt;span class="spacer"&gt;&lt;/span&gt;AとBがいるとき、AにとってのotherはB、BにとってのotherはAなので「お互い」という意味になる。&lt;/span&gt;</t>
  </si>
  <si>
    <t>&lt;span class="w"&gt;&lt;b&gt;【175.so 形容詞 / 副詞 that S V：とても〜なのでS V】&lt;/b&gt;&lt;/span&gt;
&lt;span class="ml"&gt;&lt;span class="explanation_tag"&gt;イメージ&lt;/span&gt;
読解においては「なので」という訳で覚える必要はなく、that前後で分けて考えればよい。［so 形容詞 / 副詞］が表す「とても〜」の結果や程度を「that S V」が示す。
&lt;span class="spacer"&gt;&lt;/span&gt;［He ran so fast］［that nobody could catch him］.
［彼はとても速く走った］
その結果 …
［誰も彼を捕まえられなかった］
&lt;span class="spacer"&gt;&lt;/span&gt;［It’s so hot］［that I can’t sleep］.
［とても暑い］
どのくらい暑いかと言うと …
［寝られない］&lt;/span&gt;</t>
  </si>
  <si>
    <t>&lt;span class="w"&gt;&lt;b&gt;【176.A as well as B：BだけではなくAも】&lt;/b&gt;&lt;/span&gt;
&lt;span class="ml"&gt;&lt;span class="explanation_tag"&gt;語源&lt;/span&gt;
［as well as］は、14世紀後期までに見られる表現。このwellは、may wellと同じで意味はなく、単なる強調の役割しか持たない。
&lt;span class="spacer"&gt;&lt;/span&gt;&lt;span class="explanation_tag"&gt;イメージ&lt;/span&gt;
このwellは特定の意味を持たないので、as ~ as（同等比較）による追加表現と考えればよい。
&lt;span class="spacer"&gt;&lt;/span&gt;［A as well as B］は「BとA（の程度）は同じ」&lt;span class="arrow"&gt;→&lt;/span&gt;「BだけではなくAも」と言っているだけ。
&lt;span class="spacer"&gt;&lt;/span&gt;&lt;span class="explanation_tag"&gt;補足&lt;/span&gt;
［A as well as B］は、Bは脇役でAが主役。「BだけではなくAも〜なんだ」と、Aに関することを伝える表現。そのため［A as well as B］全体が主語になる場合、動詞はAに合わせる。
&lt;span class="spacer"&gt;&lt;/span&gt;I as well as you &lt;strong&gt;am&lt;/strong&gt; ~.&lt;/span&gt;</t>
  </si>
  <si>
    <t>&lt;span class="w"&gt;&lt;b&gt;【177.not only A but (also) B：AだけでなくBも】&lt;/b&gt;&lt;/span&gt;
&lt;span class="ml"&gt;&lt;span class="explanation_tag"&gt;イメージ&lt;/span&gt;
これは直訳通り「AだけでなくBも」となる。
&lt;span class="spacer"&gt;&lt;/span&gt;&lt;span class="explanation_tag"&gt;補足&lt;/span&gt;
［not only A but (also) B］は、Aは脇役でBが主役。「AだけではなくBも〜なんだ」と、Bに関することを伝える表現。そのため［not only A but (also) B］全体が主語になる場合、動詞はBに合わせる。
&lt;span class="spacer"&gt;&lt;/span&gt;Not only you but (also) I &lt;strong&gt;am&lt;/strong&gt; ~.&lt;/span&gt;</t>
  </si>
  <si>
    <t>&lt;span class="w"&gt;&lt;b&gt;【178.as if / though ~：まるで〜のように】&lt;/b&gt;&lt;/span&gt;
&lt;span class="ml"&gt;&lt;span class="explanation_tag"&gt;thoughの語源&lt;/span&gt;
thoughには、古英語から1200年頃にかけて「〜だとしても, たとえ〜でも」という仮定のような意味合いがあった。
&lt;span class="spacer"&gt;&lt;/span&gt;&lt;span class="explanation_tag"&gt;イメージ&lt;/span&gt;
asは「〜のように」という意味で、if / thoughはどちらも「仮定」を表す。二つが合わさって「〜の仮定のように…」というところから「まるで〜のように」という意味になる。
&lt;span class="spacer"&gt;&lt;/span&gt;He talks as if he knew everything.
彼は全部知っているという仮定（if / though）
そのように（as）
彼は話す
＝彼はまるで全部知っているかのように話す
&lt;/span&gt;</t>
  </si>
  <si>
    <t>&lt;span class="w"&gt;&lt;b&gt;【179.as soon as S V：SがVするやいなや】&lt;/b&gt;&lt;/span&gt;
&lt;span class="ml"&gt;&lt;span class="explanation_tag"&gt;イメージ&lt;/span&gt;
A as ~ as Bの同等比較は、AとBが同じくらい「〜」であることを表す。そこから［S V as soon as S' V'］は、前半のSVと後半のS'V'の時差がない（どちらも同じくらいsoonである）ことを表す。&lt;/span&gt;</t>
  </si>
  <si>
    <t>&lt;span class="w"&gt;&lt;b&gt;【183.carry on (~)：（〜を）続ける】&lt;/b&gt;&lt;/span&gt;
&lt;span class="ml"&gt;&lt;span class="explanation_tag"&gt;イメージ&lt;/span&gt;
このonは「継続」を表す。物を運び（carry）続ける（on）ことから比喩的に、何かの物事を「続ける」という意味になる。
&lt;span class="spacer"&gt;&lt;/span&gt;&lt;span class="explanation_tag"&gt;補足&lt;/span&gt;
carry ~ onの語順にもなる。
&lt;span class="spacer"&gt;&lt;/span&gt;&lt;span class="explanation_tag"&gt;関連語&lt;/span&gt;
continue&lt;/span&gt;</t>
  </si>
  <si>
    <t>&lt;span class="w"&gt;&lt;b&gt;【194.人 pass away：人が亡くなる】&lt;/b&gt;&lt;/span&gt;
&lt;span class="ml"&gt;&lt;span class="explanation_tag"&gt;イメージ&lt;/span&gt;
［pass away］は、この世から遠くへ離れて（away）行ってしまう（pass）ことから、人が「亡くなる」という意味になる。&lt;/span&gt;</t>
  </si>
  <si>
    <t>&lt;span class="w"&gt;&lt;b&gt;【196.put together ~：（部品など）を組み立てる, （考えなど）をまとめる】&lt;/b&gt;&lt;/span&gt;
&lt;span class="ml"&gt;&lt;span class="explanation_tag"&gt;イメージ&lt;/span&gt;
［put together A］は、Aを一緒に（together）置く（put）ことから、Aを一つにする、つまり「Aを組み立てる, Aをまとめる」という意味になる。
&lt;span class="spacer"&gt;&lt;/span&gt;&lt;span class="explanation_tag"&gt;補足&lt;/span&gt;
put ~ togetherの語順にもなる。&lt;/span&gt;</t>
  </si>
  <si>
    <t>&lt;span class="w"&gt;&lt;b&gt;【202.of importance：重要な】&lt;/b&gt;&lt;/span&gt;
&lt;span class="ml"&gt;&lt;span class="explanation_tag"&gt;イメージ&lt;/span&gt;
［of + 抽象名詞］は形容詞的に機能する。
［of importance］は、importantと同じく「重要な」という意味になる。
&lt;span class="spacer"&gt;&lt;/span&gt;&lt;span class="explanation_tag"&gt;関連語&lt;/span&gt;
of interest（≒interesting）
of use（≒useful）
of value（≒valuable）&lt;/span&gt;</t>
  </si>
  <si>
    <t>&lt;span class="w"&gt;&lt;b&gt;【209.all of a sudden：突然に】&lt;/b&gt;&lt;/span&gt;
&lt;span class="ml"&gt;&lt;span class="explanation_tag"&gt;語源&lt;/span&gt;
suddenは、ラテン語sub（〜まで）と、ire（来る）が合わさってできた形容詞。こっそりやって来ることから、何の前触れもなく現れる＝「突然の」という意味になった。
&lt;span class="spacer"&gt;&lt;/span&gt;形容詞として生まれたsuddenから派生した名詞のsuddenは、現代では、このall of a suddenという表現にのみ残っている。
&lt;span class="spacer"&gt;&lt;/span&gt;［all of a sudden］は、1680年代にはその存在が確認されるが、それ以前は［of a sudden］という表現だった。
&lt;span class="spacer"&gt;&lt;/span&gt;&lt;span class="explanation_tag"&gt;イメージ&lt;/span&gt;
［of a sudden］は、突然（a sudden）の状態（of）を意味する。
［all of a sudden］は、程度を強調するallが付いただけ。そのため意味は、突然の状態＝「突然に」となる。&lt;/span&gt;</t>
  </si>
  <si>
    <t>&lt;span class="w"&gt;&lt;b&gt;【216.for the most part：大部分は】&lt;/b&gt;&lt;/span&gt;
&lt;span class="ml"&gt;これは直訳通り「ほとんどの部分にとっては」という意味になる。&lt;/span&gt;</t>
  </si>
  <si>
    <t>&lt;span class="w"&gt;&lt;b&gt;【217.from time to time：ときどき】&lt;/b&gt;&lt;/span&gt;
&lt;span class="ml"&gt;&lt;span class="explanation_tag"&gt;イメージ&lt;/span&gt;
［from time to time］は、ある時（a time）から他の時（another time）へ飛び飛びで進んでいくイメージ。
&lt;span class="spacer"&gt;&lt;/span&gt;ある時&lt;span class="arrow"&gt;→&lt;/span&gt;他の時&lt;span class="arrow"&gt;→&lt;/span&gt;またある時&lt;span class="arrow"&gt;→&lt;/span&gt;他の時 … という感じから「ときどき」という意味になる。&lt;/span&gt;</t>
  </si>
  <si>
    <t>&lt;span class="w"&gt;&lt;b&gt;【219.in all：全部で】&lt;/b&gt;&lt;/span&gt;
&lt;span class="ml"&gt;これは直訳通り「全部の中で＝全部で」という意味になる。&lt;/span&gt;</t>
  </si>
  <si>
    <t>&lt;span class="w"&gt;&lt;b&gt;【223.over and over (again)：何度も繰り返し】&lt;/b&gt;&lt;/span&gt;
&lt;span class="ml"&gt;&lt;span class="explanation_tag"&gt;イメージ&lt;/span&gt;
［over and over (again)］は、一度全体的に何かをして（over）そして（and）また全体的に何かをする（over）ことから、何かを「何度も繰り返す」という意味になる。&lt;/span&gt;</t>
  </si>
  <si>
    <t>&lt;span class="w"&gt;&lt;b&gt;【224.right away：今すぐ】&lt;/b&gt;&lt;/span&gt;
&lt;span class="ml"&gt;&lt;span class="explanation_tag"&gt;語源&lt;/span&gt;
［right away］は、16世紀にright（まっすぐに）とaway（離れて）からできた表現。まっすぐに離れるという物理的な動きから発展して、時間的にまっすぐ先へ進むことを表した。
&lt;span class="spacer"&gt;&lt;/span&gt;まっすぐ進めば無駄な時間がかからないため、無駄に遅れることなく「今すぐ」という意味になった。&lt;/span&gt;</t>
  </si>
  <si>
    <t>&lt;span class="w"&gt;&lt;b&gt;【230.remember to do：忘れずにーする, 〜するのを覚えている】&lt;/b&gt;&lt;/span&gt;
&lt;span class="ml"&gt;&lt;span class="explanation_tag"&gt;イメージ&lt;/span&gt;
to不定詞はその方向に向かうイメージがある。
&lt;span class="spacer"&gt;&lt;/span&gt;［remember to do］は、ある動作に向かうイメージ（to do）が頭の中にある（remember）という感じ。そこから、後で何かをすることを覚えている＝「忘れずに〜する」という意味になる。
&lt;span class="spacer"&gt;&lt;/span&gt;&lt;span class="explanation_tag"&gt;関連語&lt;/span&gt;
［remember doing］は、リアルな動作のイメージ（doing）が頭の中にある（remember）という感じ。そこから、実際に行われたことを覚えている＝「〜したのを覚えている」という意味になる。&lt;/span&gt;</t>
  </si>
  <si>
    <t>&lt;span class="w"&gt;&lt;b&gt;【18.be sure of / about ~：～を確信している】&lt;/b&gt;&lt;/span&gt;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class="explanation_tag"&gt;関連語&lt;/span&gt;
ラテン語se＋curaからは、以下も生まれている。
&lt;span class="spacer"&gt;&lt;/span&gt;secure（確保する, 保証する, 安全な, 危険のない）
security（セキュリティ）&lt;/span&gt;</t>
    <phoneticPr fontId="1"/>
  </si>
  <si>
    <t>&lt;span class="w"&gt;&lt;b&gt;【41.concentrate on ~：〜に集中する】&lt;/b&gt;&lt;/span&gt;
&lt;span class="ml"&gt;&lt;span class="explanation_tag"&gt;語源&lt;/span&gt;
concentrateは、ラテン語のcon（共に）と、centrum（中心）が合わさった語。共に一つの中心に向かわせることから「集中する」という意味になる。
&lt;span class="spacer"&gt;&lt;/span&gt;&lt;span class="explanation_tag"&gt;イメージ&lt;/span&gt;
［concentrate on 対象］で、対象の上に（on）意識や注意をまとめて集めることから「集中する」という意味になる。
&lt;span class="spacer"&gt;&lt;/span&gt;&lt;span class="explanation_tag"&gt;関連語&lt;/span&gt;
ラテン語centrumからは、以下の語も生まれている。
&lt;span class="spacer"&gt;&lt;/span&gt;center（中心, センター）&lt;/span&gt;</t>
    <phoneticPr fontId="1"/>
  </si>
  <si>
    <t>&lt;span class="w"&gt;&lt;b&gt;【93.make progress：進歩する】&lt;/b&gt;&lt;/span&gt;
&lt;span class="ml"&gt;&lt;span class="explanation_tag"&gt;語源&lt;/span&gt;
progressは、ラテン語pro（前に）と、gradus（一歩）が合わさってできた語。前に一歩一歩進むことから「進歩, 前身」という意味になった。
&lt;span class="spacer"&gt;&lt;/span&gt;&lt;span class="explanation_tag"&gt;イメージ&lt;/span&gt;
progress（進歩, 前身）を作る（make）ことから「進歩する」という意味になる。
&lt;span class="spacer"&gt;&lt;/span&gt;&lt;span class="explanation_tag"&gt;関連語&lt;/span&gt;
ラテン語gradus（一歩）からは、以下の語も生まれている。
&lt;span class="spacer"&gt;&lt;/span&gt;aggressive（相手に対して一歩踏む込んでいく＝攻撃的な）
graduate（学問において次の段階へ一歩進む＝卒業する）
gradually（一歩一歩＝段階的に, 徐々に）&lt;/span&gt;</t>
    <phoneticPr fontId="1"/>
  </si>
  <si>
    <t>&lt;span class="w"&gt;&lt;b&gt;【131.at any rate：とにかく, いずれにしても】&lt;/b&gt;&lt;/span&gt;
&lt;span class="ml"&gt;&lt;span class="explanation_tag"&gt;語源&lt;/span&gt;
rateは、ラテン語reri（計算する, 考える）に由来する。核は「計算されたもの」であり、そこから評価額・価値・費用・割合などの意味になった。
&lt;span class="spacer"&gt;&lt;/span&gt;［at any rate］は、1610年代から見られ、そのときは「どんな犠牲（費用）を払ってでも」という意味で使われた。
&lt;span class="spacer"&gt;&lt;/span&gt;&lt;span class="explanation_tag"&gt;イメージ&lt;/span&gt;
［at any rate］は「どんな費用を払ってでも」&lt;span class="arrow"&gt;→&lt;/span&gt;何をしてでも&lt;span class="arrow"&gt;→&lt;/span&gt;「とにかく, いずれにしても」というように発展したと考えればよい。
&lt;span class="spacer"&gt;&lt;/span&gt;&lt;span class="explanation_tag"&gt;関連語&lt;/span&gt;
［in any case / event］も考え方は同じ。
どんな出来事があっても
&lt;span class="arrow"&gt;→&lt;/span&gt;何があっても（どうでもいい）
&lt;span class="arrow"&gt;→&lt;/span&gt;「とにかく, いずれにしても」&lt;/span&gt;</t>
    <phoneticPr fontId="1"/>
  </si>
  <si>
    <t>&lt;span class="w"&gt;&lt;b&gt;【142.for example / instance：たとえば】&lt;/b&gt;&lt;/span&gt;
&lt;span class="ml"&gt;&lt;span class="explanation_tag"&gt;exampleの語源&lt;/span&gt;
exampleは、ラテン語ex（外に）と、emere（取る）が合わさってできた語。この語の核は「全体から外に取り出されたもの」であり、そこから説明における「具体例」という意味になった。
&lt;span class="spacer"&gt;&lt;/span&gt;&lt;span class="explanation_tag"&gt;instanceの語源&lt;/span&gt;
instanceは、ラテン語in（中に, 近くに）と、stare（立つ）が合わさってできた語。「実際に目の前に立つ事実」ということから、論理学の用語として「実例, 事例」という意味で使われた。
&lt;span class="obsolete"&gt;（ギリシャ語の論理学用語enstasisの翻訳語として使われたことによる）&lt;/span&gt;
&lt;span class="spacer"&gt;&lt;/span&gt;［for instance］は1650年代から使われている。
&lt;span class="spacer"&gt;&lt;/span&gt;&lt;span class="explanation_tag"&gt;イメージ&lt;/span&gt;
forは「〜として」という意味。そしてexample / instanceは、どちらも「例」という意味になっている。
［for example / instance］は、「例としては〜」というように、具体例を提示する表現として覚えればよい。
&lt;span class="spacer"&gt;&lt;/span&gt;&lt;span class="explanation_tag"&gt;関連語&lt;/span&gt;
ラテン語ex（外に）emere（取る）からは、以下の語も生まれている。
&lt;span class="spacer"&gt;&lt;/span&gt;sample（サンプル, 標本）：exampleは議論や説明における具体例であり、sampleは実物としての見本例。
&lt;span class="spacer"&gt;&lt;/span&gt;ラテン語in（中に, 近くに）stare（立つ）からは、以下の語も生まれている。
&lt;span class="spacer"&gt;&lt;/span&gt;instant（即座の, 差し迫った, 瞬時）：インスタントコーヒーのインスタント。&lt;/span&gt;</t>
    <phoneticPr fontId="1"/>
  </si>
  <si>
    <t>&lt;span class="w"&gt;&lt;b&gt;【146.in any case / event：とにかく, いずれにしても】&lt;/b&gt;&lt;/span&gt;
&lt;span class="ml"&gt;&lt;span class="explanation_tag"&gt;イメージ&lt;/span&gt;
［in any case / event］は「どんな出来事があっても」&lt;span class="arrow"&gt;→&lt;/span&gt;何があっても（どうでもいい）&lt;span class="arrow"&gt;→&lt;/span&gt;「とにかく, いずれにしても」というように発展したと考えればよい。
&lt;span class="spacer"&gt;&lt;/span&gt;&lt;span class="explanation_tag"&gt;関連語&lt;/span&gt;
［at any rate］も考え方は同じ。
どんな費用を払ってでも
&lt;span class="arrow"&gt;→&lt;/span&gt;何をしてでも
&lt;span class="arrow"&gt;→&lt;/span&gt;「とにかく, いずれにしても」&lt;/span&gt;</t>
    <phoneticPr fontId="1"/>
  </si>
  <si>
    <t>&lt;span class="w"&gt;&lt;b&gt;【147.in detail：詳細に】&lt;/b&gt;&lt;/span&gt;
&lt;span class="ml"&gt;&lt;span class="spacer"&gt;&lt;/span&gt;&lt;span class="explanation_tag"&gt;語源&lt;/span&gt;
detailは、古フランス語de（完全に）と、taillier（細かく切る）が合わさってできた語。物理的に細かく切り刻むことから、物事の全体をざっと見るのではなく、細部を見ることへと発展して「詳細」という意味になった。
&lt;span class="spacer"&gt;&lt;/span&gt;&lt;span class="explanation_tag"&gt;イメージ&lt;/span&gt;
［in detail］は、ひとつひとつ細かく切り分けた状態において、という感じ。そこから「詳細に」という意味になる。
&lt;span class="spacer"&gt;&lt;/span&gt;&lt;span class="explanation_tag"&gt;関連語&lt;/span&gt;
tail部分が共通する語。
&lt;span class="spacer"&gt;&lt;/span&gt;retail（小売り）：大量に仕入れた商品を細かく分けて売る&lt;/span&gt;</t>
    <phoneticPr fontId="1"/>
  </si>
  <si>
    <t>&lt;span class="w"&gt;&lt;b&gt;【169.apart from ~：①〜を除いて（除外）, ②〜のほかに（追加）】&lt;/b&gt;&lt;/span&gt;
&lt;span class="ml"&gt;&lt;span class="spacer"&gt;&lt;/span&gt;&lt;span class="explanation_tag"&gt;語源&lt;/span&gt;
apartは、ラテン語ad（〜へ）と、pars（部分）が合わさってできた語。全体から切り離されて部分（part）になる感じから「離れて」という意味になった。
&lt;span class="spacer"&gt;&lt;/span&gt;&lt;span class="explanation_tag"&gt;イメージ&lt;/span&gt;
［apart from A］は、ある話題全体に関して、AとA以外に分けてAを脇へ置き、そこから残りの部分に目を向ける感じ。この表現で大切なのは「Aは一旦置いといて」というイメージ。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Apart from the price, I like the bag.
［値段］［他の特徴］に分ける。
値段は&lt;strong&gt;脇に置き&lt;/strong&gt;、バッグを気に入っている。
＝値段&lt;strong&gt;を除けば&lt;/strong&gt;、バッグを気に入っている。
&lt;span class="spacer"&gt;&lt;/span&gt;②追加
Apart from the price, this bag is too heavy.
［値段］［他の特徴］に分ける。
値段は&lt;strong&gt;脇に置き&lt;/strong&gt;、バッグは重すぎる。
＝値段（が高いこと）&lt;strong&gt;のほかに&lt;/strong&gt;、重すぎる。
&lt;span class="spacer"&gt;&lt;/span&gt;&lt;span class="explanation_tag"&gt;関連語&lt;/span&gt;
［aside from A］も考え方と意味は同じ。&lt;/span&gt;</t>
    <phoneticPr fontId="1"/>
  </si>
  <si>
    <t>&lt;span class="w"&gt;&lt;b&gt;【170.aside from ~：①〜を除いて（除外）, ②〜のほかに（追加）】&lt;/b&gt;&lt;/span&gt;
&lt;span class="ml"&gt;&lt;/span&gt;&lt;span class="explanation_tag"&gt;イメージ&lt;/span&gt;
［aside from A］は、ある話題全体に関して、AとA以外に分けてAを脇（サイド）へ置き、そこから残りの部分に目を向ける感じ。この表現で大切なのは「Aは一旦置いといて」というイメージ。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Aside from the price, I like the bag.
［値段］［他の特徴］に分ける。
値段は&lt;strong&gt;脇に置き&lt;/strong&gt;、バッグを気に入っている。
＝値段&lt;strong&gt;を除けば&lt;/strong&gt;、バッグを気に入っている。
&lt;span class="spacer"&gt;&lt;/span&gt;②追加
Aside from the price, this bag is too heavy.
［値段］［他の特徴］に分ける。
値段は&lt;strong&gt;脇に置き&lt;/strong&gt;、バッグは重すぎる。
＝値段（が高いこと）&lt;strong&gt;のほかに&lt;/strong&gt;、重すぎる。
&lt;span class="spacer"&gt;&lt;/span&gt;&lt;span class="explanation_tag"&gt;関連語&lt;/span&gt;
［apart from A］も考え方と意味は同じ。&lt;/span&gt;</t>
    <phoneticPr fontId="1"/>
  </si>
  <si>
    <t>&lt;span class="w"&gt;&lt;b&gt;【229.remember doing：〜したのを覚えている】&lt;/b&gt;&lt;/span&gt;
&lt;span class="ml"&gt;&lt;span class="explanation_tag"&gt;イメージ&lt;/span&gt;
現在分詞 ~ingは進行形に使われるが、リアルな動作のイメージがある。
&lt;span class="spacer"&gt;&lt;/span&gt;［remember doing］は、リアルな動作のイメージ（doing）が頭の中にある（remember）という感じ。そこから、実際に行われたことを覚えている＝「〜したのを覚えている」という意味になる。
&lt;span class="spacer"&gt;&lt;/span&gt;&lt;span class="explanation_tag"&gt;関連語&lt;/span&gt;
［remember to do］は、ある動作に向かうイメージ（to do）が頭の中にある（remember）という感じ。そこから、後で何かをすることを覚えている＝「忘れずに〜する」という意味になる。&lt;/span&gt;</t>
    <phoneticPr fontId="1"/>
  </si>
  <si>
    <t>&lt;span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t>
    <phoneticPr fontId="1"/>
  </si>
  <si>
    <t>&lt;span class="w"&gt;&lt;b&gt;【133.more or less：①多かれ少なかれ, ②ほぼ, おおよそ】&lt;/b&gt;&lt;/span&gt;
&lt;span class="ml"&gt;&lt;span class="spacer"&gt;&lt;/span&gt;&lt;span class="explanation_tag"&gt;語源&lt;/span&gt;
more or lessの「多かれ少なかれ」という意味は、13世紀初頭から見られる。これは「より多くてもより少なくても」という直訳通りの意味。
&lt;span class="spacer"&gt;&lt;/span&gt;近似を表す「ほぼ」という使い方は1580年代から確認される。ある数値やある状況に対して「実際はそれよりも多いかもしれないし、少ないかもしれない」というニュアンスから、多少の誤差はあるけれど「ほぼ, おおよそ」という意味へ発展した。&lt;/span&gt;</t>
  </si>
  <si>
    <t>&lt;span class="w"&gt;&lt;b&gt;【263.at first：最初は】&lt;/b&gt;&lt;/span&gt;
&lt;span class="ml"&gt;最初（first）のときに（at）という直訳通り、「最初は」という意味になる。&lt;/span&gt;</t>
  </si>
  <si>
    <t>&lt;span class="w"&gt;&lt;b&gt;【264.for the first time：初めて】&lt;/b&gt;&lt;/span&gt;
&lt;span class="ml"&gt;最初の回（the first time）として（for）という直訳通り、「初めて」という意味になる。&lt;/span&gt;</t>
  </si>
  <si>
    <t>&lt;span class="w"&gt;&lt;b&gt;【275.as a matter of course：当然のこととして】&lt;/b&gt;&lt;/span&gt;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course］は直訳通り、当然の（of course）事柄（a matter）として（as）という意味になる。&lt;/span&gt;</t>
  </si>
  <si>
    <t>&lt;span class="w"&gt;&lt;b&gt;【276.as a matter of fact：事実として】&lt;/b&gt;&lt;/span&gt;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fact］は直訳通り、事実の（of course）事柄（a matter）として（as）という意味になる。&lt;/span&gt;</t>
  </si>
  <si>
    <t>&lt;span class="w"&gt;&lt;b&gt;【279.inside out：裏返して, ひっくり返して】&lt;/b&gt;&lt;/span&gt;
&lt;span class="ml"&gt;inside（中側, インサイド）がout（外側）になっていることを表して、「裏返して」という意味になる。&lt;/span&gt;</t>
  </si>
  <si>
    <t>&lt;span class="w"&gt;&lt;b&gt;【280.upside down：上下逆さまに, ひっくり返って】&lt;/b&gt;&lt;/span&gt;
&lt;span class="ml"&gt;upside（上側）がdown（下）になっていることを表して、「上下逆さまに, ひっくり返って」という意味になる。&lt;/span&gt;</t>
  </si>
  <si>
    <t>&lt;span class="w"&gt;&lt;b&gt;【281.provide A with B：AにBを供給する】&lt;/b&gt;&lt;/span&gt;
&lt;span class="ml"&gt;&lt;span class="explanation_tag"&gt;語源&lt;/span&gt;
provideは、ラテン語pro（前に）と、videre（見る）が合わさってできた語。先を見越して前もって備えることから、必要なものを「供給する」という意味になった。
&lt;span class="spacer"&gt;&lt;/span&gt;&lt;span class="explanation_tag"&gt;イメージ&lt;/span&gt;
［provide A with B］は、必要なものBがAにくっついた状態（A with B）を与える（provide）というイメージ。そこから「AにBを供給する」という意味になる。
&lt;span class="spacer"&gt;&lt;/span&gt;&lt;span class="explanation_tag"&gt;関連語&lt;/span&gt;
［supply A with B］は、必要なものBでAを（A with B）満たす（supply）というイメージ。そこから「AにBを供給する」という意味になる。&lt;/span&gt;</t>
  </si>
  <si>
    <t>&lt;span class="w"&gt;&lt;b&gt;【282.supply A with B：AにBを供給する】&lt;/b&gt;&lt;/span&gt;
&lt;span class="ml"&gt;&lt;span class="explanation_tag"&gt;語源&lt;/span&gt;
supplyは、ラテン語sub（下から）と、plare（満たす）が合わさってできた語。下から不足を埋めることから、必要なものを継続的に「供給する」という意味になった。
&lt;span class="spacer"&gt;&lt;/span&gt;&lt;span class="explanation_tag"&gt;イメージ&lt;/span&gt;
［supply A with B］は、必要なものBでAを（A with B）満たす（supply）というイメージ。そこから「AにBを供給する」という意味になる。
&lt;span class="spacer"&gt;&lt;/span&gt;supplyは、suppliment（サプリメント, 補うもの）と同じ語源。サプリから供給や補給というイメージが出てくる。
&lt;span class="spacer"&gt;&lt;/span&gt;&lt;span class="explanation_tag"&gt;関連語&lt;/span&gt;
［provide A with B］は、必要なものBがAにくっついた状態（A with B）を与える（provide）というイメージ。そこから「AにBを供給する」という意味になる。&lt;/span&gt;</t>
  </si>
  <si>
    <t>&lt;span class="w"&gt;&lt;b&gt;【283.mistake A for B：AをBと間違える】&lt;/b&gt;&lt;/span&gt;
&lt;span class="ml"&gt;これは直訳通り、AをBとして（A for B）間違えるという意味になる。&lt;/span&gt;</t>
  </si>
  <si>
    <t>&lt;span class="w"&gt;&lt;b&gt;【298.lie in ~：〜にある】&lt;/b&gt;&lt;/span&gt;
&lt;span class="ml"&gt;&lt;span class="explanation_tag"&gt;イメージ&lt;/span&gt;
［lie in A］は、Aの中に（in A）横たわったままいる（lie）というイメージから、「Aにある」という存在を示す意味になる。&lt;/span&gt;</t>
  </si>
  <si>
    <t>&lt;span class="w"&gt;&lt;b&gt;【85.think over ~：〜をよく考える】&lt;/b&gt;&lt;/span&gt;
&lt;span class="ml"&gt;&lt;span class="explanation_tag"&gt;イメージ&lt;/span&gt;
thinkに全体を覆うイメージのoverが付くことで、隅々までしっかり考えることを表して、「よく考える」という意味になる。&lt;/span&gt;</t>
    <phoneticPr fontId="1"/>
  </si>
  <si>
    <t>&lt;span class="w"&gt;&lt;b&gt;【100.pay attention to ~：〜に注意を払う】&lt;/b&gt;&lt;/span&gt;
&lt;span class="ml"&gt;&lt;span class="explanation_tag"&gt;語源&lt;/span&gt;
payは、ラテン語pacare（なだめる, 平和にする）に由来する。相手をなだめることから、相手に与えるべきものを差し出して満足させることへと発展した。
&lt;span class="spacer"&gt;&lt;/span&gt;attentionは、ad（〜へ）と、tendere（伸ばす）が合わさってできた語。心や意識をある対象へ伸ばすことから、意識を注ぐ「注意」という意味になった。
&lt;span class="explanation_tag"&gt;イメージ&lt;/span&gt;
payは「支払う」というイメージがあるかもしれないが、語源的には「与えるべきものを差し出す」が核にある。そこから［pay attention］で「注意を払う」という意味になる。
&lt;span class="spacer"&gt;&lt;/span&gt;［to A］で注意を向ける対象を示す。&lt;/span&gt;</t>
    <phoneticPr fontId="1"/>
  </si>
  <si>
    <t>&lt;span class="w"&gt;&lt;b&gt;【101.take care of ~：〜に気をつける, 〜の世話をする】&lt;/b&gt;&lt;/span&gt;
&lt;span class="ml"&gt;&lt;span class="explanation_tag"&gt;イメージ&lt;/span&gt;
［take care of A］は、直訳すると「Aへのcareを引き受ける」となる。つまり、Aに対して心を配ることから、「Aに気をつける, 世話をする」という意味になる。&lt;/span&gt;</t>
    <phoneticPr fontId="1"/>
  </si>
  <si>
    <t>&lt;span class="w"&gt;&lt;b&gt;【119.~ and so on / forth：〜など】&lt;/b&gt;&lt;/span&gt;
&lt;span class="ml"&gt;&lt;span class="explanation_tag"&gt;語源&lt;/span&gt;
and so forthは古英語（500年〜1100年）から確認され、and so onは1724年から確認されている。
&lt;span class="spacer"&gt;&lt;/span&gt;&lt;span class="explanation_tag"&gt;イメージ&lt;/span&gt;
前に挙げられたものと同様のもの（so）が、この先も続く（forth / on）ことを表すので、「〜など」という意味になる。
&lt;span class="spacer"&gt;&lt;/span&gt;forthは「前方」を表し、onは「継続」を表す。&lt;/span&gt;</t>
    <phoneticPr fontId="1"/>
  </si>
  <si>
    <t>&lt;span class="w"&gt;&lt;b&gt;【165.owing / due to ~： ~のために, ~のおかげで】&lt;/b&gt;&lt;/span&gt;
&lt;span class="ml"&gt;&lt;span class="explanation_tag"&gt;語源&lt;/span&gt;
dueは、ラテン語de（離れて）とhabere（持つ）が合わさってできた語。何かを持ち主から離れて持っている、つまり何かを借りている・負っていることを表した。
&lt;span class="spacer"&gt;&lt;/span&gt;oweは、古英語aganにさかのぼる。この古英語は、dueのもとになったラテン語debere（借りている, 負っている）の翻訳語として使用された。それによりoweは、現在の「借りがある, 負っている, おかげだと思う」という意味になった。
&lt;span class="spacer"&gt;&lt;/span&gt;原因・理由を表す［owing to A］は1650年代に、［due to A］は1660年代に見られ、どちらも同じ時期に生まれている。
&lt;span class="spacer"&gt;&lt;/span&gt;&lt;span class="explanation_tag"&gt;イメージ&lt;/span&gt;
おおざっぱに言うと、oweは、dueのもとになったラテン語を翻訳したことで生まれた語。そのため両方とも「借りている」が意味の核となっている。
&lt;span class="spacer"&gt;&lt;/span&gt;［owing / due to A］は、ある結果は、Aという原因に対して借りを負っているというイメージ。そこから「Aのために, Aのおかげで」という意味になる。
&lt;span class="spacer"&gt;&lt;/span&gt;&lt;span class="explanation_tag"&gt;補足&lt;/span&gt;
かつては、dueは形容詞なので、Due to A, S V ~. という前置詞句的な使い方は非文法だと見なされた。前置詞句的な使用は、動詞oweを用いるowing toでなければならない、と言われたのである。
&lt;span class="spacer"&gt;&lt;/span&gt;しかし現在では、両者の文法的な区別はなくなっている。&lt;/span&gt;</t>
    <phoneticPr fontId="1"/>
  </si>
  <si>
    <t>&lt;span class="w"&gt;&lt;b&gt;【167.in spite of ~：〜にもかかわらず】&lt;/b&gt;&lt;/span&gt;
&lt;span class="ml"&gt;［in spite of A］と同じ意味で［despite A］という表現もある。この2つはセットにして理解しておくとよい。
&lt;span class="explanation_tag"&gt;spite / despiteの語源&lt;/span&gt;
spiteは、despiteのdeが消失して生まれた語。つまりもとはdespiteの1語しかなかった。
&lt;span class="spacer"&gt;&lt;/span&gt;despiteは、ラテン語de（下に）と、specere（見る）が合わさってできた語。対象を下に見る、つまり見下す・軽蔑することを表した。
&lt;span class="spacer"&gt;&lt;/span&gt;&lt;span class="explanation_tag"&gt;despite A / in spite of&lt;/span&gt;
1300年頃、当時フランスに征服されていたイングランドでは、貴族や支配階級はフランス語を使用していた。
&lt;span class="spacer"&gt;&lt;/span&gt;そこで使われていたアングロ・フランス語en despit de（〜を軽視して）の翻訳として、英語in despite ofという表現が生まれる。
&lt;span class="spacer"&gt;&lt;/span&gt;そしてこの表現から、1400年頃に、inとofが消えた［despite A］と、despiteのdeが消えた［in spite of A］が生まれた。
&lt;span class="spacer"&gt;&lt;/span&gt;どちらも意味は「Aにもかかわらず」である。これは、もともとの軽蔑という意味からの発展したもの。
&lt;span class="spacer"&gt;&lt;/span&gt;下に見るということは、対象の存在を軽視し、それが存在しても大したことない、と見なすことを意味する。
&lt;span class="spacer"&gt;&lt;/span&gt;そこから
Despite the heavy rain, they went out. 
In spite of the heavy rain, they went out. 
のように、大雨なら出かけるのを控えるところ、それを軽視して出かけた＝大雨&lt;strong&gt;にもかかわらず&lt;/strong&gt;出かけた、という意味になった。&lt;/span&gt;</t>
    <phoneticPr fontId="1"/>
  </si>
  <si>
    <t>&lt;span class="w"&gt;&lt;b&gt;【188.find fault with ~：〜にけちをつける, 〜を非難する】&lt;/b&gt;&lt;/span&gt;
&lt;span class="ml"&gt;&lt;span class="explanation_tag"&gt;イメージ&lt;/span&gt;
［find fault with A］は、Aにくっついている（with A）欠点（fault）を見つける（find）ことから、「Aにけちをつける, 非難する」という意味になる。
&lt;span class="spacer"&gt;&lt;/span&gt;&lt;span class="explanation_tag"&gt;関連語&lt;/span&gt;
criticize（批判する）&lt;/span&gt;</t>
    <phoneticPr fontId="1"/>
  </si>
  <si>
    <t>&lt;span class="w"&gt;&lt;b&gt;【189.get over ~：〜を克服する, （病気から）回復する】&lt;/b&gt;&lt;/span&gt;
&lt;span class="ml"&gt;&lt;span class="explanation_tag"&gt;イメージ&lt;/span&gt;
［get over A］は、Aを超えた（over）状態になる（get）ことから、「Aを克服する」や、病気を乗り越えて「回復する」という意味になる。
目の前の壁を越えるイメージ。
&lt;span class="spacer"&gt;&lt;/span&gt;&lt;span class="explanation_tag"&gt;関連語&lt;/span&gt;
overcome（克服する）&lt;/span&gt;</t>
    <phoneticPr fontId="1"/>
  </si>
  <si>
    <t>&lt;span class="w"&gt;&lt;b&gt;【190.hand in ~：（手渡しで）〜を提出する, 届ける】&lt;/b&gt;&lt;/span&gt;
&lt;span class="ml"&gt;&lt;span class="explanation_tag"&gt;イメージ&lt;/span&gt;
［hand in A］は、相手の領域の中に（in）Aを手で渡す（hand）ことから、「Aを手渡しで提出する, 届ける」という意味になる。
&lt;span class="spacer"&gt;&lt;/span&gt;&lt;span class="explanation_tag"&gt;補足&lt;/span&gt;
hand ~ inの語順にもなる。
&lt;span class="spacer"&gt;&lt;/span&gt;&lt;span class="explanation_tag"&gt;関連語&lt;/span&gt;
submit（提出する）&lt;/span&gt;</t>
    <phoneticPr fontId="1"/>
  </si>
  <si>
    <t>&lt;span class="w"&gt;&lt;b&gt;【191.learn ~ by heart：〜を暗記する】&lt;/b&gt;&lt;/span&gt;
&lt;span class="ml"&gt;&lt;span class="explanation_tag"&gt;イメージ&lt;/span&gt;
［learn A by heart］は、心によって（by heart）Aを覚え込む（learn）ことから、「Aを暗記している」という意味になる。心や体にしっかり染み込んでいて、いつでも引き出せるイメージ。
&lt;span class="spacer"&gt;&lt;/span&gt;&lt;span class="explanation_tag"&gt;関連語&lt;/span&gt;
memorize（暗記する）
know ~ by heart（〜を暗記&lt;strong&gt;している&lt;/strong&gt;）&lt;/span&gt;</t>
    <phoneticPr fontId="1"/>
  </si>
  <si>
    <t>&lt;span class="w"&gt;&lt;b&gt;【204.in connection with ~：〜に関連して】&lt;/b&gt;&lt;/span&gt;
&lt;span class="ml"&gt;&lt;span class="explanation_tag"&gt;イメージ&lt;/span&gt;
connectionは「コネがある」の元になった語で、connect（結びつける, つなぐ）の名詞。
［in connection with A］は、Aと（with）結びついた状態（connection）の中に（in）あるというイメージから、「Aに関連して」という意味になる。&lt;/span&gt;</t>
    <phoneticPr fontId="1"/>
  </si>
  <si>
    <t>&lt;span class="w"&gt;&lt;b&gt;【241.make the best of ~：（不利な状況で）〜を最大限利用する】&lt;/b&gt;&lt;/span&gt;
&lt;span class="ml"&gt;&lt;span class="explanation_tag"&gt;イメージ&lt;/span&gt;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
&lt;span class="spacer"&gt;&lt;/span&gt;&lt;span class="explanation_tag"&gt;関連語&lt;/span&gt;
［make the most of A］は、Aの最大を（the most of A）を引き出す（make）というイメージから、「Aを最大限利用する」という意味になる。&lt;/span&gt;</t>
    <phoneticPr fontId="1"/>
  </si>
  <si>
    <t>&lt;span class="w"&gt;&lt;b&gt;【242.make the most of ~：〜を最大限利用する】&lt;/b&gt;&lt;/span&gt;
&lt;span class="ml"&gt;&lt;span class="explanation_tag"&gt;イメージ&lt;/span&gt;
［make the most of A］は、Aの最大を（the most of A）を引き出す（make）というイメージから、「Aを最大限利用する」という意味になる。
&lt;span class="spacer"&gt;&lt;/span&gt;&lt;span class="explanation_tag"&gt;関連語&lt;/span&gt;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class="spacer"&gt;&lt;/span&gt;beat（最善）なので、&lt;strong&gt;よくない状況の中で&lt;/strong&gt;ベストを作り出すというニュアンスになる。&lt;/span&gt;</t>
    <phoneticPr fontId="1"/>
  </si>
  <si>
    <t>&lt;span class="w"&gt;&lt;b&gt;【253.be tired from / with ~：〜で疲れている】&lt;/b&gt;&lt;/span&gt;
&lt;span class="ml"&gt;&lt;span class="explanation_tag"&gt;イメージ&lt;/span&gt;
「be tired from / with A」は、Aという原因から（from A）疲れている（be tired）や、Aを抱えて（with A）疲れている（be tired）というイメージ。
&lt;span class="spacer"&gt;&lt;/span&gt;&lt;span class="explanation_tag"&gt;関連語&lt;/span&gt;
「be tired of A」は、Aという対象に（of A）疲れている（be tired）ことから、疲れ切るほど「Aに飽きている, うんざりしている」という意味になる。
&lt;span class="spacer"&gt;&lt;/span&gt;of Aなら、Aという対象に疲れきって「飽きている, うんざりしている」。
&lt;span class="spacer"&gt;&lt;/span&gt;from Aなら、Aという起点から疲労感がきて「疲れている」。&lt;/span&gt;</t>
    <rPh sb="341" eb="342">
      <t>ツカ</t>
    </rPh>
    <rPh sb="343" eb="344">
      <t>キ</t>
    </rPh>
    <phoneticPr fontId="1"/>
  </si>
  <si>
    <t>&lt;span class="w"&gt;&lt;b&gt;【254.be tired of ~：〜に飽きている, うんざりしている】&lt;/b&gt;&lt;/span&gt;
&lt;span class="ml"&gt;&lt;span class="explanation_tag"&gt;イメージ&lt;/span&gt;
「be tired of A」は、Aという対象に（of A）疲れている（be tired）ことから、疲れ切るほど「Aに飽きている, うんざりしている」という意味になる。
&lt;span class="spacer"&gt;&lt;/span&gt;&lt;span class="explanation_tag"&gt;関連語&lt;/span&gt;
「be tired from / with A」は、Aという原因から（from A）疲れている（be tired）や、Aを抱えて（with A）疲れている（be tired）というイメージ。
&lt;span class="spacer"&gt;&lt;/span&gt;from Aなら、Aという起点から疲労感がきて「疲れている」。
&lt;span class="spacer"&gt;&lt;/span&gt;of Aなら、Aという対象に疲れきって「飽きている, うんざりしている」。&lt;/span&gt;</t>
    <rPh sb="177" eb="178">
      <t>ツカ</t>
    </rPh>
    <rPh sb="179" eb="180">
      <t>キ</t>
    </rPh>
    <phoneticPr fontId="1"/>
  </si>
  <si>
    <t>&lt;span class="w"&gt;&lt;b&gt;【284.take A for B：AをBだと思う】&lt;/b&gt;&lt;/span&gt;
&lt;span class="ml"&gt;これは直訳通すると、AをBとして（A for B）取る（take）となる。そこから「AをBと思う」という意味になる。&lt;/span&gt;</t>
    <phoneticPr fontId="1"/>
  </si>
  <si>
    <t>&lt;span class="w"&gt;&lt;b&gt;【285.look on / upon A as B：AをBと見なす】&lt;/b&gt;&lt;/span&gt;
&lt;span class="ml"&gt;&lt;span class="explanation_tag"&gt;語源&lt;/span&gt;
現在は、視線を何かに向ける（見る）ことをlook atと表現するが、atが使われ始めたのは14世紀のこと。それ以前はlook onが使われていた。
&lt;span class="spacer"&gt;&lt;/span&gt;&lt;span class="explanation_tag"&gt;イメージ&lt;/span&gt;
［look on A as B］は、Bとして（as）Aを見る（look on A）ことから、「AをBと見なす」という意味になる。&lt;/span&gt;</t>
    <phoneticPr fontId="1"/>
  </si>
  <si>
    <t>&lt;span class="w"&gt;&lt;b&gt;【286.think of A as B：AをBとして考える】&lt;/b&gt;&lt;/span&gt;
&lt;span class="ml"&gt;これは、直訳通り「AをBとして考える」という意味になる。&lt;/span&gt;</t>
    <phoneticPr fontId="1"/>
  </si>
  <si>
    <t>&lt;span class="w"&gt;&lt;b&gt;【288.tell A from B：AをBと区別する】&lt;/b&gt;&lt;/span&gt;
&lt;span class="ml"&gt;&lt;span class="explanation_tag"&gt;イメージ&lt;/span&gt;
［tell A from B］は、Bから（from B）離してAを言葉にする（tell）イメージ。つまり、BとAを分けてAに言及することから「AをBと区別する」という意味になる。&lt;/span&gt;</t>
  </si>
  <si>
    <t>&lt;span class="w"&gt;&lt;b&gt;【319.feel sorry for ~：〜をかわいそうに思う, 〜を気の毒に思う, 〜に同情する】&lt;/b&gt;&lt;/span&gt;
&lt;span class="ml"&gt;&lt;span class="explanation_tag"&gt;語源&lt;/span&gt;
sorryは、古英語sarig（悲しんでいる, 残念に思う）にさかのぼる。I'm sorryやsorry1語による謝罪表現は1834年までに確認される、非常に新しい使われ方。
&lt;span class="explanation_tag"&gt;イメージ&lt;/span&gt;
［feel sorry for A］は直訳すると、Aに対して（for A）残念に（sorry）感じる（feel）となる。かわいそう、気の毒という同情の気持ちを表す言葉であり、「Aをかわいそうに思う, Aを気の毒に思う, 〜に同情する」という意味になる。&lt;/span&gt;</t>
  </si>
  <si>
    <t>&lt;span class="w"&gt;&lt;b&gt;【320.take / have pity on ~：〜をかわいそうだと思う, 〜に同情する】&lt;/b&gt;&lt;/span&gt;
&lt;span class="ml"&gt;&lt;span class="explanation_tag"&gt;イメージ&lt;/span&gt;
［take / have pity on A］は直訳すると、Aへ乗っける（on A）哀れみの気持ち（pity）を取る（take）/ have（持つ）となる。
&lt;span class="spacer"&gt;&lt;/span&gt;つまり、Aに対して哀れでかわいそうだという感情を持つことから、「Aをかわいそうだと思う, Aに同情する」という意味になる。
&lt;span class="spacer"&gt;&lt;/span&gt;&lt;span class="explanation_tag"&gt;補足&lt;/span&gt;
haveは古風な表現。&lt;/span&gt;</t>
  </si>
  <si>
    <t>&lt;span class="w"&gt;&lt;b&gt;【322.take pride in ~：〜を誇りに思う】&lt;/b&gt;&lt;/span&gt;
&lt;span class="ml"&gt;&lt;span class="explanation_tag"&gt;イメージ&lt;/span&gt;
［take pride in A］は、Aにおいて（in A）誇り（pride）を手に取る（take）というイメージ。そこから、「Aを誇りに思う」という意味になる。&lt;/span&gt;</t>
  </si>
  <si>
    <t>&lt;span class="w"&gt;&lt;b&gt;【323.pride oneself on ~：〜を誇りに思う】&lt;/b&gt;&lt;/span&gt;
&lt;span class="ml"&gt;&lt;span class="explanation_tag"&gt;イメージ&lt;/span&gt;
［pride oneself on A］は、Aという話の土台の上で（on A）自分自身を（oneself）誇っている（pride）となる。つまり、Aに関して自分自身を誇りに思う＝「Aを誇りに思う」という意味になる。&lt;/span&gt;</t>
  </si>
  <si>
    <t>&lt;span class="w"&gt;&lt;b&gt;【327.be indispensable to / for ~：〜にとって不可欠である】&lt;/b&gt;&lt;/span&gt;
&lt;span class="ml"&gt;&lt;span class="explanation_tag"&gt;イメージ&lt;/span&gt;
indispensableは、in（否定）dispense（なしで済ます）able（できる）と考えればよい。各要素をそのまま日本語にすれば、「なしで済ませることができない」＝「必要不可欠である」という意味になる。
&lt;span class="spacer"&gt;&lt;/span&gt;［be indispensable to A］は、toで対象を示して「Aにとって必要不可欠である」という意味になる。
&lt;span class="spacer"&gt;&lt;/span&gt;［be indispensable for A］は、forで目的を示して「Aのために必要不可欠である」という意味になる。&lt;/span&gt;</t>
  </si>
  <si>
    <t>&lt;span class="w"&gt;&lt;b&gt;【328.be equal to ~：〜に等しい, 〜と同一である】&lt;/b&gt;&lt;/span&gt;
&lt;span class="ml"&gt;［be equal to A］は直訳すると、「Aに等しい」という意味になる。イコールなので完全一致、同一であることを表す。
&lt;span class="spacer"&gt;&lt;/span&gt;&lt;span class="explanation_tag"&gt;関連語&lt;/span&gt;
［be equivalent to A］は、Aに対して（to A）同じような価値がある（be equivalent）ことから、「Aと同等である, Aに相当する」という意味になる。
&lt;span class="spacer"&gt;&lt;/span&gt;equivalentは、equal＋valueなので完全一致ではない。&lt;/span&gt;</t>
  </si>
  <si>
    <t>&lt;span class="w"&gt;&lt;b&gt;【330.be apt to do：〜しがちである】&lt;/b&gt;&lt;/span&gt;
&lt;span class="ml"&gt;&lt;span class="explanation_tag"&gt;語源&lt;/span&gt;
aptは、ラテン語apere（結びつける）から派生したaptus（適した）に由来する。
&lt;span class="spacer"&gt;&lt;/span&gt;AとBが「結びついている」ことから、AがBに「ピッタリ適している」ことへと発展した。
&lt;span class="spacer"&gt;&lt;/span&gt;さらに、適しているということから「何かをするのに向いている」、そして「放っておいたらそれをしてしまう」＝「〜しがちである」という意味になった。
&lt;span class="spacer"&gt;&lt;/span&gt;たとえば、〈ある人〉と〈忘れ物をする〉が結びついているとすると、その人は忘れ物をすることにピッタリ適している。
&lt;span class="spacer"&gt;&lt;/span&gt;ということは、その人は忘れ物をするのに向いており、放っておいたら「忘れ物しがち」という状態になる。
&lt;span class="spacer"&gt;&lt;/span&gt;&lt;span class="explanation_tag"&gt;イメージ&lt;/span&gt;
［be apt to do］は、何かをすること（to do）と結びついて適している（be apt）ことから、「〜しがちである」という意味になる。&lt;/span&gt;</t>
  </si>
  <si>
    <t>&lt;span class="w"&gt;&lt;b&gt;【22.be absent from ~：～を欠席する】&lt;/b&gt;&lt;/span&gt;
&lt;span class="ml"&gt;&lt;span class="explanation_tag"&gt;語源&lt;/span&gt;
absentは、ラテン語ab（離れて）と、esse（存在する）が合わさってできた語。離れた別の場所に存在するというイメージから、いまここにはいない＝「欠席している」という意味になる。
&lt;span class="spacer"&gt;&lt;/span&gt;&lt;span class="explanation_tag"&gt;イメージ&lt;/span&gt;
［S is absent from A］は、Aという所からab（離れて）sent（存在する）ので「Aを欠席する」という意味になる。
&lt;span class="spacer"&gt;&lt;/span&gt;&lt;span class="explanation_tag"&gt;補足&lt;/span&gt;
presentは、ラテン語prae（前に）と、esse（存在する）が合わさってできた語。いま目の前に存在するというイメージから「出席している」となる。&lt;/span&gt;</t>
  </si>
  <si>
    <t>&lt;span class="w"&gt;&lt;b&gt;【90.make sense：意味をなす, 理にかなっている】&lt;/b&gt;&lt;/span&gt;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class="spacer"&gt;&lt;/span&gt;［make sense］は、心や頭を通して捉えることができる、つまり「理解できる状態にする」ことから、「意味をなす」や「理にかなっている」という意味になる。&lt;/span&gt;</t>
  </si>
  <si>
    <t>&lt;span class="w"&gt;&lt;b&gt;【211.as a (general) rule：普通は, 概して】&lt;/b&gt;&lt;/span&gt;
&lt;span class="ml"&gt;&lt;span class="explanation_tag"&gt;イメージ&lt;/span&gt;
このまま日本語にすると「（一般的な）ルールとして」となる。このルールは絶対的に守るべきものではなく、習慣的なルールのような程度の軽いもの。例外はあるかもしれないが「普通は」という意味になる。&lt;/span&gt;</t>
  </si>
  <si>
    <t>&lt;span class="w"&gt;&lt;b&gt;【332.in a sense：ある意味で, ある点で】&lt;/b&gt;&lt;/span&gt;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class="spacer"&gt;&lt;/span&gt;［in a sense］は直訳通り、ある意味（a sense）の中で（in）＝「ある意味で, ある点で」という意味になる。&lt;/span&gt;</t>
  </si>
  <si>
    <t>&lt;span class="w"&gt;&lt;b&gt;【333.in a way：ある意味で, ある点で】&lt;/b&gt;&lt;/span&gt;
&lt;span class="ml"&gt;これは直訳すると、ある道（a way）の中で（in）となる。たくさんある道や方法の中のある一つを表して、「ある意味で, ある点で」という意味になる。&lt;/span&gt;</t>
  </si>
  <si>
    <t>&lt;span class="w"&gt;&lt;b&gt;【334.first of all：まず第一に】&lt;/b&gt;&lt;/span&gt;
&lt;span class="ml"&gt;［first of all］は直訳すると、全部の中で（of all）最初（first）なので、他よりも最初に＝「まず第一に」という意味になる。&lt;/span&gt;</t>
  </si>
  <si>
    <t>&lt;span class="w"&gt;&lt;b&gt;【335.in the first place：まず第一に】&lt;/b&gt;&lt;/span&gt;
&lt;span class="ml"&gt;［in the first place］は直訳すると、第一番目の場所（the first place）において（in）なので、他よりも最初に＝「まず第一に」という意味になる。&lt;/span&gt;</t>
  </si>
  <si>
    <t>&lt;span class="w"&gt;&lt;b&gt;【336.back and forth：前後に, 行ったり来たり】&lt;/b&gt;&lt;/span&gt;
&lt;span class="ml"&gt;［back and forth］は直訳すると、後ろに（back）そして（and）前に（forth）なので、「前後に」となる。
&lt;span class="spacer"&gt;&lt;/span&gt;また前に行ったり後ろに行ったりする動きから、「行ったり来たり」という意味になる。&lt;/span&gt;</t>
  </si>
  <si>
    <t>&lt;span class="w"&gt;&lt;b&gt;【337.up and down：上下に, 行ったり来たり】&lt;/b&gt;&lt;/span&gt;
&lt;span class="ml"&gt;［up and down］は直訳すると、上に（up）そして（and）下に（down）なので、「上下に」となる。
&lt;span class="spacer"&gt;&lt;/span&gt;また上に行ったり下に行ったりする動きから、「行ったり来たり」という意味になる。&lt;/span&gt;</t>
  </si>
  <si>
    <t>&lt;span class="w"&gt;&lt;b&gt;【338.at present：現在は】&lt;/b&gt;&lt;/span&gt;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［at present］は直訳通り、「現在は」という意味になる。&lt;/span&gt;</t>
  </si>
  <si>
    <t>&lt;span class="w"&gt;&lt;b&gt;【339.at the moment：現在は, （過去時制で）そのときは】&lt;/b&gt;&lt;/span&gt;
&lt;span class="ml"&gt;&lt;span class="explanation_tag"&gt;語源&lt;/span&gt;
momentは、ラテン語movere（動かす）に由来する。一説には、天秤の針をほんのわずかに動かすほどの極めて小さな粒子という発想から、「ごく小さな時間」という意味へ発展したと考えられている。
&lt;span class="spacer"&gt;&lt;/span&gt;&lt;span class="explanation_tag"&gt;イメージ&lt;/span&gt;
［at the moment］は、そのとき（the moment）を表す。現在の話であれば「現在は」となり、過去の話であれば「そのときは」という意味になる。&lt;/span&gt;</t>
  </si>
  <si>
    <t>&lt;span class="w"&gt;&lt;b&gt;【340.in a word：つまり】&lt;/b&gt;&lt;/span&gt;
&lt;span class="ml"&gt;［in a word］は直訳すると、「1語では」となる。前に述べた内容を1語で表現するように短くまとめることから、「つまり」という意味になる。
&lt;/span&gt;</t>
  </si>
  <si>
    <t>&lt;span class="w"&gt;&lt;b&gt;【341.in short：つまり】&lt;/b&gt;&lt;/span&gt;
&lt;span class="ml"&gt;［in short］は直訳すると、「短くしたものでは」となる。前に述べた内容を短くまとめることから、「つまり」という意味になる。&lt;/span&gt;</t>
  </si>
  <si>
    <t>&lt;span class="w"&gt;&lt;b&gt;【342.generally speaking：一般的に言えば】&lt;/b&gt;&lt;/span&gt;
&lt;span class="ml"&gt;&lt;span class="explanation_tag"&gt;語源&lt;/span&gt;
generallyは、general（一般の）と、ly（副詞化）が合わさってできた語。
&lt;span class="spacer"&gt;&lt;/span&gt;generalは、印欧祖語*gene-（生む）から派生したラテン語genus（種, 種族）に由来する。
&lt;span class="spacer"&gt;&lt;/span&gt;生まれた種族全体に関わるということから、「一般の」という意味になった。generalは、全体の中の一部を指すsepecialと反対の概念。
&lt;span class="spacer"&gt;&lt;/span&gt;&lt;span class="explanation_tag"&gt;イメージ&lt;/span&gt;
［generally speaking］は直訳すると、「一般的に言えば」という意味になる。&lt;/span&gt;</t>
  </si>
  <si>
    <t>&lt;span class="w"&gt;&lt;b&gt;【344.all in all：全体的には】&lt;/b&gt;&lt;/span&gt;
&lt;span class="ml"&gt;［all in all］は直訳すると、全体（all）の中の（in）全部（all）となる。全体の中の一部の話ではなく、全部なので、「全体的には」という意味になる。&lt;/span&gt;</t>
  </si>
  <si>
    <t>&lt;span class="w"&gt;&lt;b&gt;【346.in theory：理論上は】&lt;/b&gt;&lt;/span&gt;
&lt;span class="ml"&gt;［in theory］は直訳すると、「理論上は, セオリーでは」という意味になる。
&lt;span class="spacer"&gt;&lt;/span&gt;&lt;span class="explanation_tag"&gt;語源&lt;/span&gt;
theoryは、ギリシャ語thea（見ること）と、horan（見る）が合わさってできた語。&lt;span class="obsolete"&gt;theaからは、現代英語&lt;strong&gt;thea&lt;/strong&gt;ter（シアター, 劇場）も生まれている。&lt;/span&gt;
&lt;span class="spacer"&gt;&lt;/span&gt;対象や現象をよく見て、その仕組みについて考えることで出来上がる「理論」という意味になった。&lt;/span&gt;</t>
  </si>
  <si>
    <t>&lt;span class="w"&gt;&lt;b&gt;【347.at all costs / at any cost：ぜひとも】&lt;/b&gt;&lt;/span&gt;
&lt;span class="ml"&gt;［at all costs］は直訳すると、全ての（all）犠牲（costs）で（at）となる。
&lt;span class="spacer"&gt;&lt;/span&gt;［at any cost］は直訳すると、あらゆる（any）犠牲（cost）でも（at）となる。
&lt;span class="spacer"&gt;&lt;/span&gt;どちらも、何を犠牲にしてでも突き進むことを表して、「ぜひとも」という意味になる。&lt;/span&gt;</t>
  </si>
  <si>
    <t>&lt;span class="w"&gt;&lt;b&gt;【349.as it were：いわば】&lt;/b&gt;&lt;/span&gt;
&lt;span class="ml"&gt;&lt;span class="explanation_tag"&gt;イメージ&lt;/span&gt;
［as it were］は、仮定法過去を使った「いわば」という比喩表現で、1200年頃の中英語期には使われていた。
&lt;span class="spacer"&gt;&lt;/span&gt;He is, &lt;strong&gt;as it were&lt;/strong&gt;, a walking dictionary.
彼は&lt;strong&gt;いわば&lt;/strong&gt;生き字引（歩く辞書）だ。
&lt;span class="spacer"&gt;&lt;/span&gt;これは、He is a walking dictionary. のみだと、現在時制なので「彼＝辞書」という事実になってしまう。
&lt;span class="spacer"&gt;&lt;/span&gt;本当に辞書であるわけではなく、あくまで例えであることを言い表すために、as if it were so（まるでそうであるように）を付け足しているイメージ。
&lt;span class="spacer"&gt;&lt;/span&gt;&lt;strong&gt;as&lt;/strong&gt; if &lt;strong&gt;it were&lt;/strong&gt; soが、as it wereになったと考えればよい。&lt;/span&gt;</t>
  </si>
  <si>
    <t>&lt;span class="w"&gt;&lt;b&gt;【350.so to speak / say：いわば, 言ってみれば】&lt;/b&gt;&lt;/span&gt;
&lt;span class="ml"&gt;&lt;span class="explanation_tag"&gt;イメージ&lt;/span&gt;
［so to speak / say］は、to speak / sayがso（そのように）を修飾している。
&lt;span class="spacer"&gt;&lt;/span&gt;直訳すると、そのように（so）言うならば（to speak /say）、つまり「言ってみれば, いわば」という意味になる。&lt;/span&gt;</t>
  </si>
  <si>
    <t>&lt;span class="w"&gt;&lt;b&gt;【351.for one's own part：〜としては】&lt;/b&gt;&lt;/span&gt;
&lt;span class="ml"&gt;［for one's own part］は直訳すると、その人自身の（one's own）側（part）としては（for）となる。これは、自分の立場や意見を述べる表現で、「〜としては」という意味になる。&lt;/span&gt;</t>
  </si>
  <si>
    <t>&lt;span class="w"&gt;&lt;b&gt;【352.on one's part：〜の側での】&lt;/b&gt;&lt;/span&gt;
&lt;span class="ml"&gt;［on one's part］は直訳すると、その人の側（one's part）の上で（on）となる。行為・責任・努力などがあるべき場所を示して、「〜側での」という意味になる。&lt;/span&gt;</t>
  </si>
  <si>
    <t>&lt;span class="w"&gt;&lt;b&gt;【355.close / near at hand：（距離・時間的に）すぐ近くに】&lt;/b&gt;&lt;/span&gt;
&lt;span class="ml"&gt;&lt;span class="explanation_tag"&gt;語源&lt;/span&gt;
［at hand］は、1200年頃に「時間的に近い」、そして1300年頃には「手の届く範囲にある」という意味で使われた。
&lt;span class="spacer"&gt;&lt;/span&gt;&lt;span class="explanation_tag"&gt;イメージ&lt;/span&gt;
文献的には、時間的な近さ&lt;span class="arrow"&gt;→&lt;/span&gt;物理的な近さという順序で現れているようだが、覚える上では、「物理的に手が届く近さ」&lt;span class="arrow"&gt;→&lt;/span&gt;「時間的な近さ」という発展だと考えればよい。
&lt;span class="spacer"&gt;&lt;/span&gt;closeとnearは、at handが持つ「近さ」を「&lt;strong&gt;すぐ&lt;/strong&gt;近く」と強調する。
&lt;span class="spacer"&gt;&lt;/span&gt;こうして［close / near at hand］は、「（距離的・時間的に）すぐ近く」という意味になる。&lt;/span&gt;</t>
    <phoneticPr fontId="1"/>
  </si>
  <si>
    <t>&lt;span class="w"&gt;&lt;b&gt;【356.(just) around the corner：（距離・時間的に）すぐ近くに】&lt;/b&gt;&lt;/span&gt;
&lt;span class="ml"&gt;&lt;span class="explanation_tag"&gt;イメージ&lt;/span&gt;
［around the corner］は直訳すると、角（the corner）を周ったところに（around）となる。角を曲がってすぐという物理的な近さから、時間的な近さも表すようになり、「（距離的・時間的に）すぐ近く」という意味になった。
&lt;span class="spacer"&gt;&lt;/span&gt;justは、around the cornerを強調する役割を持つ。&lt;/span&gt;</t>
    <phoneticPr fontId="1"/>
  </si>
  <si>
    <t>&lt;span class="w"&gt;&lt;b&gt;【180.Something is wrong with ~ .：〜はどこか調子がおかしい】&lt;/b&gt;&lt;/span&gt;
&lt;span class="ml"&gt;&lt;span class="spacer"&gt;&lt;/span&gt;&lt;span class="explanation_tag"&gt;イメージ&lt;/span&gt;
［something is wrong with A］は、something is wrongとAがwithによって結びついている。そこから直訳通り「Aに関して何かがおかしい」という意味になる。&lt;/span&gt;</t>
    <phoneticPr fontId="1"/>
  </si>
  <si>
    <t>&lt;span class="w"&gt;&lt;b&gt;【361.not to mention ~：〜は言うまでもない】&lt;/b&gt;&lt;/span&gt;
&lt;span class="ml"&gt;［not to mention A］は直訳すると、Aに言及すること（to mention A）はない（not）となる。つまり、Aについてわざわざ言葉にする必要はないということを表して、「Aは言うまでもない」という意味になる。&lt;/span&gt;</t>
  </si>
  <si>
    <t>&lt;span class="w"&gt;&lt;b&gt;【362.to say nothing of ~：〜は言うまでもない】&lt;/b&gt;&lt;/span&gt;
&lt;span class="ml"&gt;［to say nothing of A］は直訳すると、Aの何も（nothing of A）言わない（say）となる。つまり、Aについてわざわざ言葉にする必要はないということを表して、「Aは言うまでもない」という意味になる。&lt;/span&gt;</t>
  </si>
  <si>
    <t>&lt;span class="w"&gt;&lt;b&gt;【370.do without (~)：（〜）なしで済ます】&lt;/b&gt;&lt;/span&gt;
&lt;span class="ml"&gt;［do without A］は直訳すると、Aなしで（without A）何かをする（do）となる。そこから「Aなしで済ませる」という意味になる。&lt;/span&gt;</t>
  </si>
  <si>
    <t>&lt;span class="w"&gt;&lt;b&gt;【373.at (one's) ease：くつろいで】&lt;/b&gt;&lt;/span&gt;
&lt;span class="ml"&gt;&lt;span class="explanation_tag"&gt;語源&lt;/span&gt;
easeは、古フランス語aise（快適さ）に由来する。この古フランス語の名詞は、動詞aisier（楽にする）に派生し、その過去分詞が現代英語easy（気楽に, 簡単に）になった。
&lt;span class="spacer"&gt;&lt;/span&gt;つまりeaseは、easyの名詞だと考えればよい。
&lt;span class="spacer"&gt;&lt;/span&gt;&lt;span class="explanation_tag"&gt;イメージ&lt;/span&gt;
［at (one's) ease］は直訳すると、（誰かの）快適な状態（ease）で（at）となる。そこから「くつろいで」という意味になる。&lt;/span&gt;</t>
  </si>
  <si>
    <t>&lt;span class="w"&gt;&lt;b&gt;【374.ill at ease：不安で, 落ち着かないで】&lt;/b&gt;&lt;/span&gt;
&lt;span class="ml"&gt;&lt;span class="explanation_tag"&gt;イメージ&lt;/span&gt;
［ill at ease］は、at ease（くつろいで）を副詞ill（悪く）が否定している。そこから、くつろいでいない＝「不安で, 落ち着かない」という意味になる。&lt;/span&gt;</t>
  </si>
  <si>
    <t>&lt;span class="w"&gt;&lt;b&gt;【389.go with ~：①〜と付き合う, ②〜に似合う】&lt;/b&gt;&lt;/span&gt;
&lt;span class="ml"&gt;&lt;span class="explanation_tag"&gt;イメージ&lt;/span&gt;
［go with A］の核は、ぴったりくっついて進んでいくこと。
&lt;span class="spacer"&gt;&lt;/span&gt;①ある人が、誰かと一緒に人生を歩んでいけば、「Aと付き合う」という意味になる。
&lt;span class="spacer"&gt;&lt;/span&gt;②物が、誰かとぴったりくっついて進んでいけば、その物が「Aに似合う」という意味になる。&lt;/span&gt;</t>
  </si>
  <si>
    <t>&lt;span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t>
  </si>
  <si>
    <t>&lt;span class="w"&gt;&lt;b&gt;【646.sum：合計, 要約】&lt;/b&gt;&lt;/span&gt;
&lt;span class="ml"&gt;ラテン語summa（頂点）に由来する。これは印欧祖語*uper-（上に：superの語源）の最上級*sup-mos-（最も上の）にさかのぼる。
&lt;span class="spacer"&gt;&lt;/span&gt;古代ローマでは、数字を計算するとき、縦に書いた数字を下から上に足し、合計を一番上に書いていた。ここから「頂点」が「合計」という意味になったと考えられる。
&lt;span class="spacer"&gt;&lt;/span&gt;また合計というのは、全てをまとめることなので「要約」という意味にもなった。
&lt;div class="sample_image sum"&gt;&lt;/div&gt;&lt;/span&gt;</t>
  </si>
  <si>
    <t>&lt;span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t>
  </si>
  <si>
    <t>&lt;span class="w"&gt;&lt;b&gt;【47.complain of / about ~：（苦痛）を訴える, 〜について不満を言う】&lt;/b&gt;&lt;/span&gt;
&lt;span class="ml"&gt;complainは、ラテン語のcom（強意）と、plangere（胸を打つ）が合わさってできた語。もともとは深い悲しみに襲われた際に強く胸を叩く、という感情表現だったが、次第に悲しみではなく、そこから生じる「不満を言う」や「苦痛を訴える」という意味に発展した。
&lt;span class="spacer"&gt;&lt;/span&gt;&lt;span class="explanation_tag"&gt;イメージ&lt;/span&gt;
ofは、苦痛の起点を示して「苦痛を訴える」という意味で使われる。
aboutは、何についての不満かを示して「不平不満を言う」という意味で使われる。&lt;/span&gt;</t>
  </si>
  <si>
    <t>&lt;span class="w"&gt;&lt;b&gt;【407.meet with ~：①〜と（約束して）会う, ②〜を受ける, 〜を経験する】&lt;/b&gt;&lt;/span&gt;
&lt;span class="ml"&gt;&lt;span class="explanation_tag"&gt;イメージ&lt;/span&gt;
［meet with A］は、Aと面と向かって（meet）共にいる（with）イメージ。
&lt;span class="spacer"&gt;&lt;/span&gt;①人とただ会うだけではなく、約束や目的があって「Aと会う」という意味になる。
&lt;span class="spacer"&gt;&lt;/span&gt;②対象が人ではなく、状況や出来事に直面するなら、「Aを受ける, Aを経験する」という意味になる。&lt;/span&gt;</t>
  </si>
  <si>
    <t>&lt;span class="w"&gt;&lt;b&gt;【410.run over (~)：①（車が）〜をひく, ②溢れる, 超過する】&lt;/b&gt;&lt;/span&gt;
&lt;span class="ml"&gt;&lt;span class="explanation_tag"&gt;イメージ&lt;/span&gt;
①車が何かの上を（over）走り抜ける（run）ことから、「Aをひく」という意味になる。
&lt;span class="spacer"&gt;&lt;/span&gt;②基準や限界を超えて（over）走り抜けるイメージから、「溢れる, 超過する」という意味になる。&lt;/span&gt;</t>
  </si>
  <si>
    <t>&lt;span class="w"&gt;&lt;b&gt;【415.in effect：①事実上, 実際のところは, ②（法律などが）実施されて, 有効で】&lt;/b&gt;&lt;/span&gt;
&lt;span class="ml"&gt;&lt;span class="explanation_tag"&gt;イメージ&lt;/span&gt;
effectは、日本語でも使われるエフェクト（効果）と同じ。［in effect］は、効果がある状態の中にいるというイメージ。
&lt;span class="spacer"&gt;&lt;/span&gt;①「現実に生じる効果的には」というニュアンスから、「事実上, 実際のところは」という意味になる。
&lt;span class="spacer"&gt;&lt;/span&gt;②法律や規則などが効果を持って状態であることを表して、「実施されて, 有効で」といった意味になる。&lt;/span&gt;</t>
  </si>
  <si>
    <t>&lt;span class="w"&gt;&lt;b&gt;【421.add to ~：〜を増やす】&lt;/b&gt;&lt;/span&gt;
&lt;span class="ml"&gt;&lt;span class="explanation_tag"&gt;イメージ&lt;/span&gt;
［add A］は「Aを足す」という付け足しを表す。
&lt;span class="spacer"&gt;&lt;/span&gt;［add to A］は「Aを増やす」という&lt;strong&gt;増大・増幅&lt;/strong&gt;を表す。&lt;/span&gt;</t>
  </si>
  <si>
    <t>&lt;span class="w"&gt;&lt;b&gt;【433.feed on ~：〜を常食とする】&lt;/b&gt;&lt;/span&gt;
&lt;span class="ml"&gt;&lt;span class="explanation_tag"&gt;イメージ&lt;/span&gt;
［feed on A］のfeedは、自動詞で「動物などが餌を食べる」という意味。on Aで土台となる基本の食事を示す。Aを基本の食事とすることから、「Aを常食とする」という意味になる。&lt;/span&gt;</t>
  </si>
  <si>
    <t>&lt;span class="w"&gt;&lt;b&gt;【443.aim at ~：①〜を目指す, ②〜を狙う】&lt;/b&gt;&lt;/span&gt;
&lt;span class="ml"&gt;&lt;span class="explanation_tag"&gt;語源&lt;/span&gt;
aimは、estimate（見積もる）やesteem（尊敬する）と同じく、ラテン語aestimare（価値をつける）に由来する。計算して対象に価値をつけることから発展して、距離や角度を物理的に計算して何かを「狙う」、目標達成までの道筋を計算して「目指す」という意味になった。
&lt;span class="spacer"&gt;&lt;/span&gt;［aim at A］は、「狙う, 目指す」対象をat Aで示して、「Aを狙う, Aを目指す」という意味になる。&lt;/span&gt;</t>
  </si>
  <si>
    <t>&lt;span class="w"&gt;&lt;b&gt;【446.long for ~：〜を切望する】&lt;/b&gt;&lt;/span&gt;
&lt;span class="ml"&gt;&lt;span class="explanation_tag"&gt;イメージ&lt;/span&gt;
［long for A］の動詞longは、長く長く待ち焦がれるイメージから「切望する」という意味になる。そして、望む対象をfor Aで表して、「〜を切望する」という意味になる。&lt;/span&gt;</t>
  </si>
  <si>
    <t>&lt;span class="w"&gt;&lt;b&gt;【450.end up （doing / 場所 / 状態）：最後には〜になる】&lt;/b&gt;&lt;/span&gt;
&lt;span class="ml"&gt;&lt;span class="explanation_tag"&gt;例&lt;/span&gt;
「end up」のupは「完全に」という意味。
&lt;span class="spacer"&gt;&lt;/span&gt;完全に（up）最後へ到達する（end）というイメージから、「最終的に〜になる」という意味になる。&lt;/span&gt;</t>
  </si>
  <si>
    <t>&lt;span class="w"&gt;&lt;b&gt;【451.use up ~：〜を使い果たす】&lt;/b&gt;&lt;/span&gt;
&lt;span class="ml"&gt;&lt;span class="explanation_tag"&gt;イメージ&lt;/span&gt;
［use up A］のupは「完全に」という意味。
&lt;span class="spacer"&gt;&lt;/span&gt;Aを完全に（up）使う（use）イメージから、「Aを完全に使い果たす」という意味になる。
&lt;span class="spacer"&gt;&lt;/span&gt;&lt;span class="explanation_tag"&gt;補足&lt;/span&gt;
use ~ upの語順にもなる。&lt;/span&gt;</t>
  </si>
  <si>
    <t>&lt;span class="w"&gt;&lt;b&gt;【452.sum up (~)：①〜を要約する, ②〜を合計する】&lt;/b&gt;&lt;/span&gt;
&lt;span class="ml"&gt;&lt;span class="explanation_tag"&gt;語源&lt;/span&gt;
名詞sumは、ラテン語summa（頂点）に由来する。これは印欧祖語*uper-（上に）の最上級*sup-mos-（最も上の）にさかのぼる。
&lt;span class="spacer"&gt;&lt;/span&gt;古代ローマでは、数字を計算するとき、縦に書いた数字を下から上に足し、合計を一番上（頂点）に書いていた。そこから「合計」という意味になったと考えられる。
&lt;span class="spacer"&gt;&lt;/span&gt;また合計というのは、全てをまとめることなので、文章や話の「要約」という意味にもなった。
&lt;span class="spacer"&gt;&lt;/span&gt;動詞sumは、数学的な「合計する」という意味と、「要約する」という意味があるが、「要約する」という意味で使う場合は、1700年頃から［sum up A］という形で使われるようになった。
&lt;span class="spacer"&gt;&lt;/span&gt;&lt;span class="explanation_tag"&gt;イメージ&lt;/span&gt;
［sum up A］のupは「完全に」という意味。
&lt;span class="spacer"&gt;&lt;/span&gt;バラバラにあるAを完全に（up）一つにする（sum）ことから、「Aを要約する」という意味になる。
&lt;span class="spacer"&gt;&lt;/span&gt;また、バラバラにあるデータなどの数値を完全に一つにするイメージで、集計して「合計する」という意味になる。
&lt;span class="spacer"&gt;&lt;/span&gt;&lt;span class="explanation_tag"&gt;補足&lt;/span&gt;
sum ~ upの語順にもなる。&lt;/span&gt;</t>
  </si>
  <si>
    <t>&lt;span class="w"&gt;&lt;b&gt;【453.clear up (~)：①（天候が）晴れる, ②（不明点・疑念などを）明らかにする】&lt;/b&gt;&lt;/span&gt;
&lt;span class="ml"&gt;&lt;span class="explanation_tag"&gt;イメージ&lt;/span&gt;
［clear up A］のupは「完全に」という意味。
&lt;span class="spacer"&gt;&lt;/span&gt;ぼんやりしたものを完全に（up）クリアにする（clear）イメージから、天候が「晴れる」、不明点や疑念など「Aを明らかにする」という意味になる。
&lt;span class="spacer"&gt;&lt;/span&gt;&lt;span class="explanation_tag"&gt;補足&lt;/span&gt;
clear ~ upの語順にもなる。&lt;/span&gt;</t>
  </si>
  <si>
    <t>&lt;span class="w"&gt;&lt;b&gt;【455.cheer up (~)：元気づく, 〜を元気づける】&lt;/b&gt;&lt;/span&gt;
&lt;span class="ml"&gt;&lt;span class="explanation_tag"&gt;イメージ&lt;/span&gt;
［cheer up (A)］のupは「完全に」という意味。cheerは、チアリーディングのチアと同じで、「元気づける」という意味。
&lt;span class="spacer"&gt;&lt;/span&gt;完全に（up）元気づける（cheer）ことから、「Aを元気づける, 元気づく」という意味になる。
&lt;span class="spacer"&gt;&lt;/span&gt;&lt;span class="explanation_tag"&gt;補足&lt;/span&gt;
cheer ~ upの語順にもなる。&lt;/span&gt;</t>
  </si>
  <si>
    <t>&lt;span class="w"&gt;&lt;b&gt;【458.shut up (~)：話をやめる, 〜を黙らせる】&lt;/b&gt;&lt;/span&gt;
&lt;span class="ml"&gt;&lt;span class="explanation_tag"&gt;イメージ&lt;/span&gt;
&lt;span class="explanation_tag"&gt;イメージ&lt;/span&gt;
［shut up (A)］のupは「完全に」という意味。shutは、シャッターと同じで「閉じる」という意味。
&lt;span class="spacer"&gt;&lt;/span&gt;完全に（up）話をしている口を閉じる（shut）ことから、「話をやめる, Aを黙らせる」という意味になる。
&lt;span class="spacer"&gt;&lt;/span&gt;&lt;span class="explanation_tag"&gt;補足&lt;/span&gt;
shut ~ upの語順にもなる。&lt;/span&gt;</t>
  </si>
  <si>
    <t>&lt;span class="w"&gt;&lt;b&gt;【459.step up (~)：①前に出る, 近づく, （壇上などに）上がる, ②（量・速度など）を増す, （活動など）を促進する】&lt;/b&gt;&lt;/span&gt;
&lt;span class="ml"&gt;&lt;span class="explanation_tag"&gt;イメージ&lt;/span&gt;
［step up (A)］は、歩を進めて（step）一段上にあがる（up）イメージ。
&lt;span class="spacer"&gt;&lt;/span&gt;
①足をあげて前に歩を進めるイメージから、「前に出る, 近づく, （壇上などに）上がる」という意味になる。
&lt;span class="spacer"&gt;&lt;/span&gt;②量・速度・活動などを一段上げて進むイメージから、「（量・速度など）を増す, （活動など）を促進する」という意味になる。&lt;/span&gt;</t>
  </si>
  <si>
    <t>&lt;span class="w"&gt;&lt;b&gt;【461.slow down (~)：（〜の）速度を落とす, ペースが落ちる】&lt;/b&gt;&lt;/span&gt;
&lt;span class="ml"&gt;&lt;span class="explanation_tag"&gt;イメージ&lt;/span&gt;
［slow down (A)］は、いまの速度を下方向に落とすことから、「（Aの）速度を落とす, ペースが落ちる」という意味になる。&lt;/span&gt;</t>
    <rPh sb="149" eb="151">
      <t>ソクド</t>
    </rPh>
    <rPh sb="152" eb="155">
      <t>シタホウコウ</t>
    </rPh>
    <rPh sb="156" eb="157">
      <t>オ</t>
    </rPh>
    <rPh sb="169" eb="171">
      <t>ソクド</t>
    </rPh>
    <rPh sb="172" eb="173">
      <t>オ</t>
    </rPh>
    <rPh sb="181" eb="182">
      <t>オ</t>
    </rPh>
    <rPh sb="188" eb="190">
      <t>イミ</t>
    </rPh>
    <phoneticPr fontId="1"/>
  </si>
  <si>
    <t>&lt;span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t>
  </si>
  <si>
    <t>&lt;span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t>
  </si>
  <si>
    <t>&lt;span class="w"&gt;&lt;b&gt;【466.come out：現れる, ばれる, 出版される, 発売される】&lt;/b&gt;&lt;/span&gt;
&lt;span class="ml"&gt;&lt;span class="explanation_tag"&gt;イメージ&lt;/span&gt;
［come out］は、何かの中や裏にあるものが外に（out）出てくる（come）イメージ。そこから、見えなかったものが「現れる」、隠されていたことが「ばれる」、世に出ていなかったものが「出版される, 発売される」などの意味になる。&lt;/span&gt;</t>
  </si>
  <si>
    <t>&lt;span class="w"&gt;&lt;b&gt;【469.drop out：脱落する, 中途退学する】&lt;/b&gt;&lt;/span&gt;
&lt;span class="ml"&gt;&lt;span class="explanation_tag"&gt;イメージ&lt;/span&gt;
dropは、水滴がポタポタ落ちる、何かが転がり落ちるといったイメージ。
&lt;span class="spacer"&gt;&lt;/span&gt;［drop out］は、あるレールの上や流れから外に（out）落ちていく（drop）イメージから、「脱落する」という意味になる。これが、教育課程における脱落であれば「中途退学する」という意味になる。&lt;/span&gt;</t>
  </si>
  <si>
    <t>&lt;span class="w"&gt;&lt;b&gt;【480.put in ~：①（物・言葉など）を差し入れる, （設備など）を設置する, ②（時間・労力・お金など）を注ぎ込む】&lt;/b&gt;&lt;/span&gt;
&lt;span class="ml"&gt;&lt;span class="explanation_tag"&gt;イメージ&lt;/span&gt;
［put in A］は、Aを何かの中に（in）置く（put）イメージ。
&lt;span class="spacer"&gt;&lt;/span&gt;①物や言葉などを何かの中に入れることから、「Aを差し入れる」という意味になる。また設備などを入れるなら「Aを設置する」という意味になる。
&lt;span class="spacer"&gt;&lt;/span&gt;②時間・労力・お金などを中に入れるなら、「Aを注ぎ込む」という意味になる。&lt;/span&gt;</t>
  </si>
  <si>
    <t>&lt;span class="w"&gt;&lt;b&gt;【482.cut in：（人・車が）割り込む】&lt;/b&gt;&lt;/span&gt;
&lt;span class="ml"&gt;&lt;span class="explanation_tag"&gt;イメージ&lt;/span&gt;
［cut in］は、何かを切って（cut）間に入れる（in）イメージから、人や車が「割り込む」という意味になる。&lt;/span&gt;</t>
  </si>
  <si>
    <t>&lt;span class="w"&gt;&lt;b&gt;【486.compare A with / to B：AをBと比較する, AをBに例える】&lt;/b&gt;&lt;/span&gt;
&lt;span class="ml"&gt;&lt;span class="explanation_tag"&gt;語源&lt;/span&gt;
compareは、ラテン語com（共に）と、par（等しい）が合わさってできた語。何かと何かを比べて等しいかどうかを見ることを表した。そこから、同じがどうか「比較する」や、同じだとみなして「例える」という意味になった。
&lt;span class="spacer"&gt;&lt;/span&gt;&lt;span class="explanation_tag"&gt;イメージ&lt;/span&gt;
［compare A with / to B］は、AをBと（A with B）/ AをBに対して（A to B）「比較する, 例える」という意味になる。&lt;/span&gt;</t>
  </si>
  <si>
    <t>&lt;span class="w"&gt;&lt;b&gt;【488.leave A (up) to B：AをBに残す, AをBに任せる】&lt;/b&gt;&lt;/span&gt;
&lt;span class="ml"&gt;&lt;span class="explanation_tag"&gt;イメージ&lt;/span&gt;
［leave A (up) to B］は直訳すると、AをBの方に移動させて、そのまま去るというイメージから、「AをBに残す, AをBに任せる」という意味になる。&lt;/span&gt;</t>
  </si>
  <si>
    <t>&lt;span class="w"&gt;&lt;b&gt;【491.owe A to B：AをBに負っている, AをBに借りている】&lt;/b&gt;&lt;/span&gt;
&lt;span class="ml"&gt;&lt;span class="explanation_tag"&gt;語源&lt;/span&gt;
owe（借りている）は、own（所有する）と兄弟語。どちらも古英語agan（所有する）にさかのぼるが、所有するという意味はownが引き継いでいる。
&lt;span class="spacer"&gt;&lt;/span&gt;古英語aganは、agan to geldanne（返済しなければならない）というフレーズが、ラテン語debere（借りている）の翻訳語として使われたことから、aganの1語で「借りがある, 負っている」という意味を持つようになった。そしてこの意味を引き継いだのがoweである。
&lt;span class="spacer"&gt;&lt;/span&gt;&lt;span class="obsolete"&gt;ラテン語debere（借りている）からは、debt（借金, 負債）やduty（義務, 税）も生まれている。&lt;/span&gt;
&lt;span class="spacer"&gt;&lt;/span&gt;［owe A to B］は、「Bに対してAを借りている, 負っている」という意味になる。&lt;/span&gt;</t>
  </si>
  <si>
    <t>&lt;span class="w"&gt;&lt;b&gt;【493.liken A to B：AをBに例える】&lt;/b&gt;&lt;/span&gt;
&lt;span class="ml"&gt;&lt;span class="explanation_tag"&gt;イメージ&lt;/span&gt;
likenは、形容詞like（同様の）に動詞化するenが付いて、「同様にする」&lt;span class="arrow"&gt;→&lt;/span&gt;「例える」になったと考えればよい。
&lt;span class="spacer"&gt;&lt;/span&gt;そこから［liken A to B］は、AをBと同様にする＝「AをBに例える」という意味になる。&lt;/span&gt;</t>
  </si>
  <si>
    <t>&lt;span class="w"&gt;&lt;b&gt;【494.keep A from B：AにBをさせない, AをBから守る】&lt;/b&gt;&lt;/span&gt;
&lt;span class="ml"&gt;&lt;span class="explanation_tag"&gt;イメージ&lt;/span&gt;
［keep A from B］は、AをBから離れた状態にキープするという直訳通りのイメージで覚えればよい。
&lt;span class="spacer"&gt;&lt;/span&gt;火や危険などから離れた状態をキープするなら、「AをBから守る」という意味になる。
&lt;span class="spacer"&gt;&lt;/span&gt;何らかの行動から離れた状態をキープするなら、「AにBをさせない」という意味になる。&lt;/span&gt;</t>
  </si>
  <si>
    <t>&lt;span class="w"&gt;&lt;b&gt;【495.discourage A from B：AにBを思いとどまらせる】&lt;/b&gt;&lt;/span&gt;
&lt;span class="ml"&gt;&lt;span class="explanation_tag"&gt;イメージ&lt;/span&gt;
discourageは、courage（勇気）に否定を表すdisが付いて、「勇気をなくさせる」&lt;span class="arrow"&gt;→&lt;/span&gt;「思いとどまらせる」になったと考えればよい。
&lt;span class="spacer"&gt;&lt;/span&gt;そこから［discourage A from B］は、Aに勇気をなくさせてBから距離がある状態にする＝「AにBを思いとどまらせる」という意味になる。&lt;/span&gt;</t>
  </si>
  <si>
    <t>&lt;span class="w"&gt;&lt;b&gt;【498.order A from B：BにAを注文する】&lt;/b&gt;&lt;/span&gt;
&lt;span class="ml"&gt;&lt;span class="explanation_tag"&gt;イメージ&lt;/span&gt;
［order A from B］は、［order A］でAを注文することを表し、［from B］で注文したものがどこから来るかを示す。ここから「BにAを注文する」という意味になる。&lt;/span&gt;</t>
  </si>
  <si>
    <t>&lt;span class="w"&gt;&lt;b&gt;【499.substitute A for B：Bの代わりにAを使う】&lt;/b&gt;&lt;/span&gt;
&lt;span class="ml"&gt;&lt;span class="explanation_tag"&gt;語源&lt;/span&gt;
substituteは、ラテン語sub（下に）と、statuere（設置する）が合わさってできた語。前者は、日本語でも使うサブメンバーのサブと同じ。
&lt;span class="spacer"&gt;&lt;/span&gt;もともとは、誰かの下に控え・代理人・後継者として置いておくことを表したが、そこから既にあるものの「代わりに使う」という意味にシフトしていった。
&lt;span class="spacer"&gt;&lt;/span&gt;［substitute A for B］のforは「代わりに」という意味。語源的に考えると、Bの代わりとしてAを下に置いておき、そして実際に「Bの代わりにAを使う」となる。&lt;/span&gt;</t>
  </si>
  <si>
    <t>&lt;span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t>
    <phoneticPr fontId="1"/>
  </si>
  <si>
    <t>&lt;span class="w"&gt;&lt;b&gt;【835.punish：～を罰する】&lt;/b&gt;&lt;/span&gt;
&lt;span class="ml"&gt;ラテン語poena（罰, 刑罰）に由来する。
&lt;span class="spacer"&gt;&lt;/span&gt;罰という名詞から動詞の「罰する」となった。ラテン語poena（罰, 刑罰）はpenalty（ペナルティ）の語源でもあるため、penaltyの動詞として覚えればよい。&lt;/span&gt;</t>
    <phoneticPr fontId="1"/>
  </si>
  <si>
    <t>&lt;span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t>
  </si>
  <si>
    <t>&lt;span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t>
  </si>
  <si>
    <t>&lt;span class="w"&gt;&lt;b&gt;【501.blame A for B：BのことでAを非難する, BをAのせいにする】&lt;/b&gt;&lt;/span&gt;
&lt;span class="ml"&gt;&lt;span class="explanation_tag"&gt;語源&lt;/span&gt;
blameは、ラテン語blasphemare（悪口を言う, 非難する）に由来する。相手に悪い言葉を向けることから、悪いことの原因を相手に帰属させることへと変化し、そこから「非難する」、さらに相手に「責任を負わせる」という意味になった。
&lt;span class="spacer"&gt;&lt;/span&gt;［blame A for B］のforは「理由」を表して、「BのことでAを非難する, BをAのせいにする」という意味になる。&lt;/span&gt;</t>
    <rPh sb="45" eb="47">
      <t>ヒナン</t>
    </rPh>
    <rPh sb="297" eb="299">
      <t>リユウ</t>
    </rPh>
    <rPh sb="301" eb="302">
      <t>アラワ</t>
    </rPh>
    <rPh sb="332" eb="334">
      <t>イミ</t>
    </rPh>
    <phoneticPr fontId="1"/>
  </si>
  <si>
    <t>&lt;span class="w"&gt;&lt;b&gt;【502.punish A for B：BのことでAを罰する】&lt;/b&gt;&lt;/span&gt;
&lt;span class="ml"&gt;&lt;span class="explanation_tag"&gt;語源&lt;/span&gt;
punishは、ラテン語poena（罰, 刑罰）に由来する。罰という名詞から動詞の「罰する」という意味になった。
&lt;span class="spacer"&gt;&lt;/span&gt;このラテン語はpenalty（ペナルティ）の語源でもあるため、penaltyの動詞として覚えればよい。
&lt;span class="spacer"&gt;&lt;/span&gt;&lt;span class="explanation_tag"&gt;イメージ&lt;/span&gt;
［blame A for B］のforは「理由」を表して、「BのことでAを罰する」という意味になる。&lt;/span&gt;</t>
    <rPh sb="46" eb="47">
      <t>バッ</t>
    </rPh>
    <rPh sb="168" eb="170">
      <t>イミ</t>
    </rPh>
    <rPh sb="363" eb="364">
      <t>バッ</t>
    </rPh>
    <phoneticPr fontId="1"/>
  </si>
  <si>
    <t>&lt;span class="w"&gt;&lt;b&gt;【505.rob A ob B：（暴力や脅迫などで）AからBを奪う】&lt;/b&gt;&lt;/span&gt;
&lt;span class="ml"&gt;&lt;span class="explanation_tag"&gt;語源&lt;/span&gt;
robは、バスローブや裁判官・魔法使いが着ているようなローブ（robe, 丈が長いコート）と関連している。ローブはもともと敵から奪った高価な服を意味し、robは奪う行為を表した。
&lt;span class="spacer"&gt;&lt;/span&gt;［rob A of B］のofは「分離」を表して、「AからBを奪う」という意味になる。&lt;/span&gt;</t>
  </si>
  <si>
    <t>&lt;span class="w"&gt;&lt;b&gt;【506.cure A of B：AのBを治す, AのB（悪癖など）を直す】&lt;/b&gt;&lt;/span&gt;
&lt;span class="ml"&gt;&lt;span class="explanation_tag"&gt;語源&lt;/span&gt;
cureは、ラテン語curare（世話をする）に由来する。特にび健康または健全な状態に回復させることを表すようになり、「治す」という意味になった。
&lt;span class="spacer"&gt;&lt;/span&gt;&lt;span class="explanation_tag"&gt;イメージ&lt;/span&gt;
［cure A of B］のofは「分離」を表して、「AのBを治す」という意味になる。また病気に限らず、悪い癖などに関して「AのBを直す」という意味にもなる。&lt;/span&gt;</t>
  </si>
  <si>
    <t>&lt;span class="w"&gt;&lt;b&gt;【510.transform A into / to B：AをBに変える. 変形させる】&lt;/b&gt;&lt;/span&gt;
&lt;span class="ml"&gt;&lt;span class="explanation_tag"&gt;語源&lt;/span&gt;
transformは、ラテン語trans（越えて）と、forma（形）から派生したformare（形作る）が合わさってできた語。今ある状態から別の状態へと形を変えることから、形や質を「変える」という意味になる。
&lt;span class="spacer"&gt;&lt;/span&gt;［transform A into / to B］は、Aを形を変えてBの中へ入れるイメージから、「AをBに変える. 変形させる」という意味になる。&lt;/span&gt;</t>
  </si>
  <si>
    <t>&lt;span class="w"&gt;&lt;b&gt;【512.present A with B：AにBを贈る】&lt;/b&gt;&lt;/span&gt;
&lt;span class="ml"&gt;&lt;span class="explanation_tag"&gt;イメージ&lt;/span&gt;
［present A with B］は、A（人）に対してB（物）がくっついた状態にすることから、「AにBを贈る」という意味になる。&lt;/span&gt;</t>
  </si>
  <si>
    <t>&lt;span class="w"&gt;&lt;b&gt;【515.congratulate A on B：AをBのことで祝う】&lt;/b&gt;&lt;/span&gt;
&lt;span class="ml"&gt;&lt;span class="explanation_tag"&gt;語源&lt;/span&gt;
congratulateは、ラテン語com（共に）と、gratis（喜ばしい）が合わさってできた語。みんなで共に喜びの言葉を述べることから、「祝う」という意味になった。
&lt;span class="spacer"&gt;&lt;/span&gt;&lt;span class="explanation_tag"&gt;イメージ&lt;/span&gt;
［congratulate A on B］は、Bという出来事の上でAを祝うということから、「AをBのことで祝う」という意味になる。&lt;/span&gt;</t>
  </si>
  <si>
    <t>&lt;span class="w"&gt;&lt;b&gt;【516.name A after B：BにちなんでAに名前をつける】&lt;/b&gt;&lt;/span&gt;
&lt;span class="ml"&gt;&lt;span class="explanation_tag"&gt;イメージ&lt;/span&gt;
［name A after B］は直訳すると、Bの後に（after B）Aに名前をつける（name A）となる。つまり、先につけられたBの名前を継いでAに名付けるイメージから、「BにちなんでAに名前をつける」という意味になる。&lt;/span&gt;</t>
  </si>
  <si>
    <t>&lt;span class="w"&gt;&lt;b&gt;【517.make an effort / efforts：努力する】&lt;/b&gt;&lt;/span&gt;
&lt;span class="ml"&gt;&lt;span class="explanation_tag"&gt;語源&lt;/span&gt;
effortは、ラテン語ex（外に）と、fortis（力強い）が合わさってできた語。外に向かって力を発揮することを表して、「努力」という意味になった。
&lt;span class="spacer"&gt;&lt;/span&gt;ラテン語fortisからは、英語のforce（力）も生まれている。
&lt;span class="spacer"&gt;&lt;/span&gt;［make an effort / efforts］は直訳の通り、「努力する」という意味になる。&lt;/span&gt;</t>
  </si>
  <si>
    <t>&lt;span class="w"&gt;&lt;b&gt;【518.make way：道をあける】&lt;/b&gt;&lt;/span&gt;
&lt;span class="ml"&gt;［make way］は、直訳すると「道を作る」になる。実際に道を切り開くように「道をあける」という意味になる。&lt;/span&gt;</t>
  </si>
  <si>
    <t>&lt;span class="w"&gt;&lt;b&gt;【520.make / earn［a / one's］living：生計を立てる】&lt;/b&gt;&lt;/span&gt;
&lt;span class="ml"&gt;&lt;span class="explanation_tag"&gt;イメージ&lt;/span&gt;
［make a / one's living］は、生計・生活（a / one's living）を何らかの方法で作る（make）ことから、「生計を立てる」という意味になる。
&lt;span class="spacer"&gt;&lt;/span&gt;［earn a / one's living］は、稼いで（earn）生計・生活（a / one's living）成り立たせることから、「生計を立てる」という意味になる。&lt;/span&gt;</t>
  </si>
  <si>
    <t>&lt;span class="w"&gt;&lt;b&gt;【522.take turns：交代でする】&lt;/b&gt;&lt;/span&gt;
&lt;span class="ml"&gt;&lt;span class="explanation_tag"&gt;イメージ&lt;/span&gt;
Aがturn（順番, ターン）を取る&lt;span class="arrow"&gt;→&lt;/span&gt;Bがturnを取る&lt;span class="arrow"&gt;→&lt;/span&gt;A&lt;span class="arrow"&gt;→&lt;/span&gt;B … というようにturnを取り合うことから、［take turn&lt;strong&gt;s&lt;/strong&gt;］は「交代でする」という意味になる。&lt;/span&gt;</t>
  </si>
  <si>
    <t>&lt;span class="w"&gt;&lt;b&gt;【524.take shape：形を取る】&lt;/b&gt;&lt;/span&gt;
&lt;span class="ml"&gt;&lt;span class="explanation_tag"&gt;イメージ&lt;/span&gt;
［take shape］は、ぼんやりしたものが、はっきりとした形やイメージになることから、何かが具体的な「形を取る」という意味になる。&lt;/span&gt;</t>
  </si>
  <si>
    <t>&lt;span class="w"&gt;&lt;b&gt;【525.take / have a seat：着席する】&lt;/b&gt;&lt;/span&gt;
&lt;span class="ml"&gt;［take / have a seat］は直訳の通り、「着席する, 席につく」という意味になる。&lt;/span&gt;</t>
  </si>
  <si>
    <t>&lt;span class="w"&gt;&lt;b&gt;【526.take a risk / risks：危険を冒す】&lt;/b&gt;&lt;/span&gt;
&lt;span class="ml"&gt;［take a risk / risks］は直訳の通り、「危険を冒す」という意味になる。
&lt;span class="spacer"&gt;&lt;/span&gt;複数形risksだと、習慣的・繰り返しということになる。&lt;/span&gt;</t>
  </si>
  <si>
    <t>&lt;span class="w"&gt;&lt;b&gt;【527.shake hands：握手する】&lt;/b&gt;&lt;/span&gt;
&lt;span class="ml"&gt;&lt;span class="explanation_tag"&gt;イメージ&lt;/span&gt;
自分の手と相手の手（hands）を一緒に振る（shake）ことから、「握手する」という意味になる。&lt;/span&gt;</t>
  </si>
  <si>
    <t>&lt;span class="w"&gt;&lt;b&gt;【528.change hands：持ち主が変わる】&lt;/b&gt;&lt;/span&gt;
&lt;span class="ml"&gt;&lt;span class="explanation_tag"&gt;イメージ&lt;/span&gt;
［change hands］は、ある人の手から別の人の手に変わることを表して、「持ち主が変わる」という意味になる。&lt;/span&gt;</t>
  </si>
  <si>
    <t>&lt;span class="w"&gt;&lt;b&gt;【529.have a say (in ~)：（〜に）発言権を持つ】&lt;/b&gt;&lt;/span&gt;
&lt;span class="ml"&gt;&lt;span class="explanation_tag"&gt;イメージ&lt;/span&gt;
［have a say (in A)］は、（Aの範囲内において）発言権（a say）を持つことから、「（Aに）発言権を持つ」という意味になる。&lt;/span&gt;</t>
  </si>
  <si>
    <t>&lt;span class="w"&gt;&lt;b&gt;【530.have / get one's (own) way：思い通りにする】&lt;/b&gt;&lt;/span&gt;
&lt;span class="ml"&gt;&lt;span class="explanation_tag"&gt;イメージ&lt;/span&gt;
［have / get one's (own) way］は、自分自身の道（one's own way）を持って（have / get）、その道を進むイメージから、自分自身の道を進む＝「思い通りにする」という意味になる。&lt;/span&gt;</t>
  </si>
  <si>
    <t>&lt;span class="w"&gt;&lt;b&gt;【531.keep / hold one's temper：冷静さを保つ】&lt;/b&gt;&lt;/span&gt;
&lt;span class="ml"&gt;&lt;span class="explanation_tag"&gt;イメージ&lt;/span&gt;
［keep / hold one's temper］は、その人の気分（one's temper）を動かないようにする（keep / hold）ことから、「冷静さを保つ」という意味になる。&lt;/span&gt;</t>
  </si>
  <si>
    <t>&lt;span class="w"&gt;&lt;b&gt;【532.take advantage of ~ ：〜を利用する, 〜につけ込む】&lt;/b&gt;&lt;/span&gt;
&lt;span class="ml"&gt;&lt;span class="explanation_tag"&gt;イメージ&lt;/span&gt;
［take advantage of A］は、Aからのアドバンテージ・利益をつかんで何かをすることから、「Aを利用する, Aにつけ込む」という意味になる。&lt;/span&gt;</t>
  </si>
  <si>
    <t>&lt;span class="w"&gt;&lt;b&gt;【533.take control of ~：〜をコントロールする（制御・管理・支配）】&lt;/b&gt;&lt;/span&gt;
&lt;span class="ml"&gt;&lt;span class="explanation_tag"&gt;イメージ&lt;/span&gt;
［take control of A］は、Aのコントロールを握ることから、「Aををコントロールする（制御・管理・支配）」という意味になる。&lt;/span&gt;</t>
  </si>
  <si>
    <t>&lt;span class="w"&gt;&lt;b&gt;【534.make use of ~：〜を利用する】&lt;/b&gt;&lt;/span&gt;
&lt;span class="ml"&gt;&lt;span class="explanation_tag"&gt;イメージ&lt;/span&gt;
［make use of A］は、Aの使う価値（use of A）を作り出すイメージから、「Aを利用する」という意味になる。useの前には、good / effective / betterなどの形容詞をつけることができる。&lt;/span&gt;</t>
  </si>
  <si>
    <t>&lt;span class="w"&gt;&lt;b&gt;【535.make fun of ~：〜をからかう】&lt;/b&gt;&lt;/span&gt;
&lt;span class="ml"&gt;&lt;span class="explanation_tag"&gt;イメージ&lt;/span&gt;
［make fun of A］は直訳すると、Aから（of A）笑い（fun）を作る（make）となる。そこから、Aを笑いものにする＝「Aをからかう」という意味になる。&lt;/span&gt;</t>
  </si>
  <si>
    <t>&lt;span class="w"&gt;&lt;b&gt;【536.make friends with ~：〜と親しくなる】&lt;/b&gt;&lt;/span&gt;
&lt;span class="ml"&gt;&lt;span class="explanation_tag"&gt;イメージ&lt;/span&gt;
［make friends with A］は、Aと（with A）友人関係（friends）を作り出すことから、「Aと親しくなる」という意味になる。
&lt;span class="spacer"&gt;&lt;/span&gt;親しくなるというのは、自分と相手の最低2人がいて成立するものなので、複数形friend&lt;strong&gt;s&lt;/strong&gt;となる。&lt;/span&gt;</t>
  </si>
  <si>
    <t>&lt;span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t>
  </si>
  <si>
    <t>ラテン語ferre（運ぶ）に由来する~fer系と~late系はまとめて覚える。
preferは「好きなものを他のものより前に置く」というイメージ。</t>
  </si>
  <si>
    <t>&lt;span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t>
  </si>
  <si>
    <t>&lt;span class="w"&gt;&lt;b&gt;【1295.peculiar：特有の, 奇妙な】&lt;/b&gt;&lt;/span&gt;
&lt;span class="ml"&gt;ラテン語に由来する語で、以下の3つの要素から成る。
&lt;span class="spacer"&gt;&lt;/span&gt;pecu（家畜）
ulium（小さいことを表す）
aris（形容詞化）
&lt;span class="spacer"&gt;&lt;/span&gt;このまま日本語にすると「家畜の小さな群れの」となる。古代ローマの時代、移動して連れて行ける家畜は最も重要な財産であった。家畜の小さな群れは、家長から自分の子供や奴隷に与えられた一部の家畜を表し、その人だけの財産を指した。
&lt;span class="spacer"&gt;&lt;/span&gt;その後、財産に限定されず、特定の人や場所のみに属している状態を表すようになって「特有の」という意味になった。
&lt;span class="spacer"&gt;&lt;/span&gt;また特有であるということは、他と比較すると普通ではないという感覚につながり、普通ではなくて「奇妙な」という意味にもなった。
&lt;div class="sample_image peculiar"&gt;&lt;/div&gt;&lt;/span&gt;</t>
  </si>
  <si>
    <t>&lt;span class="w"&gt;&lt;b&gt;【537.make much of ~：①〜を重要視する（大きな存在として扱う）, ②（否定文で）〜を理解する】&lt;/b&gt;&lt;/span&gt;
&lt;span class="ml"&gt;&lt;span class="explanation_tag"&gt;イメージ&lt;/span&gt;
［make much of A］のmuchは、名詞で「多くのこと, 多くの価値, 大量」などの意味を持つ。
&lt;span class="spacer"&gt;&lt;/span&gt;①Aに関して（of A）多くの価値（much）を作る（make）ことから、Aに多くの価値がある大きな存在として扱う＝「Aを重要視する」という意味になる。
&lt;span class="spacer"&gt;&lt;/span&gt;②Aに関して（of A）多くの意味（much）を作る（make）ことから、Aに多くの意味があるように扱う＝「Aを理解する」という意味になる。&lt;/span&gt;</t>
  </si>
  <si>
    <t>&lt;span class="w"&gt;&lt;b&gt;【538.have difficulty (in) doing：〜するのが困難である】&lt;/b&gt;&lt;/span&gt;
&lt;span class="ml"&gt;&lt;span class="explanation_tag"&gt;イメージ&lt;/span&gt;
［have difficulty (in) doing］は、何かをすることにおいて困難を持っていることから、「〜するのが困難である」という意味になる。今では、通常inを使わない。&lt;/span&gt;</t>
  </si>
  <si>
    <t>&lt;span class="w"&gt;&lt;b&gt;【539.have access to ~：〜にアクセスできる, 〜を利用できる, 〜に近づける】&lt;/b&gt;&lt;/span&gt;
&lt;span class="ml"&gt;&lt;span class="explanation_tag"&gt;イメージ&lt;/span&gt;
［have access to A］は、Aに対して接近する（アクセスする）権利や手段を持っていることを表す。そこから文脈によって、「〜を利用できる」「〜に近づける」「〜に接触できる」など、様々な意味になる。&lt;/span&gt;</t>
  </si>
  <si>
    <t>&lt;span class="w"&gt;&lt;b&gt;【540.have an influence / effect on ~：〜に影響を与える】&lt;/b&gt;&lt;/span&gt;
&lt;span class="ml"&gt;&lt;span class="explanation_tag"&gt;イメージ&lt;/span&gt;
［have an influence / effect on A］は直訳の通り、Aに影響を持つことから、「Aに影響を与える」という意味になる。
&lt;span class="spacer"&gt;&lt;/span&gt;&lt;span class="explanation_tag"&gt;補足&lt;/span&gt;
influenceは、SNSのインフルエンサー（influencer, 影響力を持つ人）と関連し、「影響」という意味。
&lt;span class="spacer"&gt;&lt;/span&gt;effectは、ゲームのエフェクト（画面効果）やサウンドエフェクト（音響効果）など、「効果, 影響」を意味する。&lt;/span&gt;</t>
  </si>
  <si>
    <t>&lt;span class="w"&gt;&lt;b&gt;【541.have a liking for ~：〜を好む】&lt;/b&gt;&lt;/span&gt;
&lt;span class="ml"&gt;&lt;span class="explanation_tag"&gt;イメージ&lt;/span&gt;
likingは、likeの動名詞で「好み」という意味。
&lt;span class="spacer"&gt;&lt;/span&gt;［have a liking for A］は直訳の通り、Aに対する好みを持っていることから、「Aを好む」という意味になる。
&lt;span class="spacer"&gt;&lt;/span&gt;&lt;span class="explanation_tag"&gt;補足&lt;/span&gt;
［take a liking to A］なら「Aを好きになる」という意味になる。&lt;/span&gt;</t>
  </si>
  <si>
    <t>&lt;span class="w"&gt;&lt;b&gt;【543.give birth to ~：〜を産む, 〜を生み出す】&lt;/b&gt;&lt;/span&gt;
&lt;span class="ml"&gt;&lt;span class="explanation_tag"&gt;イメージ&lt;/span&gt;
［give birth to A］は、Aに対して（to A）誕生（birth）を与える（give）ことから、「Aを産む」という意味になる。
&lt;span class="spacer"&gt;&lt;/span&gt;また、子を産むことから比喩的に、新しい何かを「生み出す」という意味にもなる。&lt;/span&gt;</t>
  </si>
  <si>
    <t>&lt;span class="w"&gt;&lt;b&gt;【544.find one's way to ~：〜へたどり着く】&lt;/b&gt;&lt;/span&gt;
&lt;span class="ml"&gt;&lt;span class="explanation_tag"&gt;イメージ&lt;/span&gt;
［find one's way to A］は、自身が進む道（one's way）を見つけて（find）Aへ（to A）というイメージ。そこから「〜へたどり着く」という意味になる。&lt;/span&gt;</t>
  </si>
  <si>
    <t>&lt;span class="w"&gt;&lt;b&gt;【545.keep an eye on ~：〜から目を離さない, 〜に気をつけている】&lt;/b&gt;&lt;/span&gt;
&lt;span class="ml"&gt;&lt;span class="explanation_tag"&gt;イメージ&lt;/span&gt;
［keep an eye on A］は、Aの上に（on A）目線をキープしておくイメージから、「〜から目を離さない, 〜に気をつけている」という意味になる。&lt;/span&gt;</t>
  </si>
  <si>
    <t>&lt;span class="w"&gt;&lt;b&gt;【547.catch sight of ~：〜を見かける, 〜を見つける】&lt;/b&gt;&lt;/span&gt;
&lt;span class="ml"&gt;&lt;span class="explanation_tag"&gt;イメージ&lt;/span&gt;
［catch sight of A］は、Aが含まれる視界（sight of A）を瞬間的に目でキャッチするイメージ。そこから、「Aを見かける, 見つける」という意味になる。&lt;/span&gt;</t>
  </si>
  <si>
    <t>&lt;span class="w"&gt;&lt;b&gt;【548.put emphasis / stress on ~：〜を強調する, 〜を重視する】&lt;/b&gt;&lt;/span&gt;
&lt;span class="ml"&gt;&lt;span class="explanation_tag"&gt;語源&lt;/span&gt;
emphasisは、ギリシャ語en（中に）と、phainein（示す）が合わさってできた語。言葉の中に含まれる意味や内容をはっきり示すことから「強調」という意味になった。
&lt;span class="spacer"&gt;&lt;/span&gt;&lt;span class="explanation_tag"&gt;イメージ&lt;/span&gt;
［put emphasis / stress on A］は、Aの上に強調（emphasis / stress）を置くことから、Aが他よりも強調されるものであることを示して、「Aを強調する, Aを重視する」という意味になる。&lt;/span&gt;</t>
  </si>
  <si>
    <t>&lt;span class="w"&gt;&lt;b&gt;【549.be related to ~：〜と関連している, 〜と親族関係である】&lt;/b&gt;&lt;/span&gt;
&lt;span class="ml"&gt;&lt;span class="explanation_tag"&gt;語源&lt;/span&gt;
relateは、ラテン語re（再び）と、ferre（運ぶ）の過去分詞latusが合わさってできた語。これは、場所Aから場所Bへ移動し、そこで何かを取り、再び元の場所Aへ運ぶイメージ。
&lt;span class="spacer"&gt;&lt;/span&gt;AとBとの間で何かを運び合うような関係を作る行為から、「relate A to B」で「AをBに関連付ける」という意味になる。
&lt;span class="spacer"&gt;&lt;/span&gt;この表現が受動態［A be related to B］になれば、Aは「Bと関連している」や「Bと親族関係である」という意味になる。&lt;/span&gt;</t>
  </si>
  <si>
    <t>&lt;span class="w"&gt;&lt;b&gt;【552.be superior to ~：〜より優れている】&lt;/b&gt;&lt;/span&gt;
&lt;span class="ml"&gt;&lt;span class="explanation_tag"&gt;語源&lt;/span&gt;
superiorは、ラテン語super（上に, 越えて）と、ior（比較級を作る）が合わさってできた語だと考えればよい。
&lt;span class="spacer"&gt;&lt;/span&gt;物理的な位置関係において、何かよりも上であるということから、能力・品質・地位などが上であることへと発展し、「より優れた」という意味になった。
&lt;span class="spacer"&gt;&lt;/span&gt;［superior to A］は、Aより上であることから、「Aより優れている」という意味になる。
&lt;span class="spacer"&gt;&lt;/span&gt;&lt;span class="explanation_tag"&gt;補足&lt;/span&gt;
ラテン語由来の比較のニュアンスが含まれる語は、比較対象をtoで示す。それらの語が、もともとは空間や時間的な位置関係を表し、to（〜に対して）で位置の基準を表したからである。
&lt;span class="spacer"&gt;&lt;/span&gt;inferior to A：Aより下＝劣っている
prior to A：Aより前＝優先する&lt;/span&gt;</t>
  </si>
  <si>
    <t>&lt;span class="w"&gt;&lt;b&gt;【553.be sensitive to ~：〜に敏感である, 〜に神経質になる】&lt;/b&gt;&lt;/span&gt;
&lt;span class="ml"&gt;&lt;span class="explanation_tag"&gt;語源&lt;/span&gt;
sensitiveは、ラテン語sentire（感じる）に由来する。この語の核は「感覚で受け取ること」。もともとは物理的な刺激を感じ取る能力がある状態を表していた。そこから、わずかな変化も察知する性質を表して、「敏感な, 神経質な」という意味になった。
&lt;span class="spacer"&gt;&lt;/span&gt;［be sensitive to A］は直訳の通り、「Aに敏感である」「Aに神経質になる」という意味になる。&lt;/span&gt;</t>
  </si>
  <si>
    <t>&lt;span class="w"&gt;&lt;b&gt;【554.be accustomed to ~：〜に慣れている】&lt;/b&gt;&lt;/span&gt;
&lt;span class="ml"&gt;&lt;span class="explanation_tag"&gt;イメージ&lt;/span&gt;
accustomedは、accustom（慣らす）の過去分詞が形容詞になったもの。つまり、動詞の「慣らす」が、過去分詞「慣らされている」＝「慣れている」になった。
&lt;span class="spacer"&gt;&lt;/span&gt;&lt;span class="obsolete"&gt;accustomは、ac（〜へ）と、custom（習慣, カスタム）が合わさってできた語。何かに対して習慣にさせることで「慣らす」というイメージ。&lt;/span&gt;
&lt;span class="spacer"&gt;&lt;/span&gt;［S be accustomed to (動)名詞］は、Sが〈(動)名詞〉に対して慣らされている状態なので、Sは「〜に慣れている」という意味になる。&lt;/span&gt;</t>
  </si>
  <si>
    <t>&lt;span class="w"&gt;&lt;b&gt;【555.be contrary to ~：〜に反している】&lt;/b&gt;&lt;/span&gt;
&lt;span class="ml"&gt;&lt;span class="explanation_tag"&gt;語源&lt;/span&gt;
contraryは、ラテン語contra（〜に対して）が形容詞になった語に由来する。何かに対していることから「反対の」という意味になった。
&lt;span class="spacer"&gt;&lt;/span&gt;cotraは、以下の語にも使われている。
contrast（コントラスト, 対照）
contradict（反対のことを言う, 矛盾する）
controversy（論争）
&lt;span class="spacer"&gt;&lt;/span&gt;&lt;span class="explanation_tag"&gt;イメージ&lt;/span&gt;
［be contrary to A］は、Aに対していることから、「Aに反している」という意味になる。&lt;/span&gt;</t>
  </si>
  <si>
    <t>&lt;span class="w"&gt;&lt;b&gt;【556.be indifferent to / towards ~：〜に無関心である】&lt;/b&gt;&lt;/span&gt;
&lt;span class="ml"&gt;この表現は［be different from A］の反対として理解する。
&lt;span class="spacer"&gt;&lt;/span&gt;&lt;span class="explanation_tag"&gt;イメージ&lt;/span&gt;
indifferentは、differentに否定を表すinが付いたと考えればよい。他と区別するような違いがなく、興味・関心がないことを表して、「無関心な」という意味になる。
&lt;span class="spacer"&gt;&lt;/span&gt;［be indifferent to / towards A］は、無関心の対象をto Aで示す。これは、be different from Aのfromと反対になっている。&lt;/span&gt;</t>
  </si>
  <si>
    <t>&lt;span class="w"&gt;&lt;b&gt;【557.be preferable to ~：〜の方が好ましい】&lt;/b&gt;&lt;/span&gt;
&lt;span class="ml"&gt;preferableは、prefer（好む）の形容詞として考えればよい。
&lt;span class="spacer"&gt;&lt;/span&gt;&lt;span class="explanation_tag"&gt;preferの語源&lt;/span&gt;
preferは、ラテン語prae（前に）と、ferre（運ぶ）が合わさってできた語。他のものよりも前に出すことから、他よりも高く評価する、他のよりも「好む」という意味になる。
&lt;span class="spacer"&gt;&lt;/span&gt;prefer A to B（AよりBを好む）では、比較の対象をtoで示す。これは「前へ運ぶ」が、何に対して前なのかを示すため。つまり、Bに対して（to B）Aを前に運ぶ（好む）ことを表している。
&lt;span class="spacer"&gt;&lt;/span&gt;&lt;span class="explanation_tag"&gt;イメージ&lt;/span&gt;
［A be preferable to B］は、AがBに対して、より前へ運ばれることから、「AはBよりも好ましい」という意味になる。&lt;/span&gt;</t>
  </si>
  <si>
    <t>&lt;span class="w"&gt;&lt;b&gt;【558.be dedicated to ~：〜に献身している, 〜専念している】&lt;/b&gt;&lt;/span&gt;
&lt;span class="ml"&gt;&lt;span class="explanation_tag"&gt;dedicateの語源&lt;/span&gt;
dedicateは、ラテン語de（離れて）と、dicare（宣言する）が合わさってできた語。もともとは、世間から切り離して神に属するものだと宣言する、宗教的な奉献を表した。そこから宗教に関わらず、一般的な意味として、時間やエネルギーなどを「捧げる」、作品や碑などを「献呈する」という意味になった。
&lt;span class="spacer"&gt;&lt;/span&gt;［dedicate A to B］という形で「AをBに捧げる」という意味になる。
&lt;span class="spacer"&gt;&lt;/span&gt;&lt;span class="explanation_tag"&gt;イメージ&lt;/span&gt;
［A be dedicated to B］は直訳すると、AはBに対して（to B）捧げられている（be dedicated）となる。A自身が、Bに対して時間・労力・能力などを捧げていることから、「AはBに献身している, 専念している」という意味になる。&lt;/span&gt;</t>
  </si>
  <si>
    <t>&lt;span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t>
    <rPh sb="111" eb="112">
      <t>ゴ</t>
    </rPh>
    <phoneticPr fontId="1"/>
  </si>
  <si>
    <t>&lt;span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t>
    <phoneticPr fontId="1"/>
  </si>
  <si>
    <t>&lt;span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t>
  </si>
  <si>
    <t>&lt;span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t>
  </si>
  <si>
    <t>&lt;span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t>
  </si>
  <si>
    <t>&lt;span class="w"&gt;&lt;b&gt;【1040.equip：〜を備えつける】&lt;/b&gt;&lt;/span&gt;
&lt;span class="ml"&gt;古ノルド語skip（船）から派生したskipa（船を装備する,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や知識、スキルなどを「備えつける」という意味になった。
&lt;div class="sample_image equip"&gt;&lt;/div&gt;&lt;/span&gt;</t>
  </si>
  <si>
    <t>&lt;span class="w"&gt;&lt;b&gt;【561.be identical to / with ~：〜と同一である】&lt;/b&gt;&lt;/span&gt;
&lt;span class="ml"&gt;&lt;span class="explanation_tag"&gt;イメージ&lt;/span&gt;
&lt;strong&gt;id&lt;/strong&gt;enticalは、アカウントにログインする時に、ログインしようとしている人がどのアカウントと同一かを識別する&lt;strong&gt;ID&lt;/strong&gt;と関連させて覚えればよい。
&lt;span class="spacer"&gt;&lt;/span&gt;動詞&lt;strong&gt;id&lt;/strong&gt;entify（同一視する）・名詞&lt;strong&gt;id&lt;/strong&gt;entification（同一かの識別）, &lt;strong&gt;id&lt;/strong&gt;entity（同一性, 身元）・形容詞&lt;strong&gt;id&lt;/strong&gt;enticalは、すべて「同一」や同一かの「識別」に関わる意味になる。
&lt;span class="spacer"&gt;&lt;/span&gt;そこから［be identical to / with A］は、「Aと同一である」という意味になる。&lt;/span&gt;</t>
  </si>
  <si>
    <t>&lt;span class="w"&gt;&lt;b&gt;【564.be lacking in ~：〜に欠けている, 不足している】&lt;/b&gt;&lt;/span&gt;
&lt;span class="ml"&gt;&lt;span class="explanation_tag"&gt;イメージ&lt;/span&gt;
［be lacking in A］は、Aという範囲で（in A）不足している（be lacking）ことから、「〜に欠けている, 不足している」という意味になる。&lt;/span&gt;</t>
  </si>
  <si>
    <t>&lt;span class="w"&gt;&lt;b&gt;【567.be busy with ~：〜で忙しい】&lt;/b&gt;&lt;/span&gt;
&lt;span class="ml"&gt;［be busy with A］は、Aを抱えていて（with A）忙しい（be busy）ことから、「Aで忙しい」という意味になる。&lt;/span&gt;</t>
  </si>
  <si>
    <t>&lt;span class="w"&gt;&lt;b&gt;【568.be popular with / among ~：〜に人気がある】&lt;/b&gt;&lt;/span&gt;
&lt;span class="ml"&gt;［be popular with / among A］は直訳の通り、「Aに人気がある」という意味になる。among Aは、Aという集団の中で人気があるイメージ。&lt;/span&gt;</t>
  </si>
  <si>
    <t>&lt;span class="w"&gt;&lt;b&gt;【570.be content / contented with ~：〜に満足している】&lt;/b&gt;&lt;/span&gt;
&lt;span class="ml"&gt;contentは、動詞containの形容詞と考えればよい。
&lt;span class="spacer"&gt;&lt;/span&gt;&lt;span class="explanation_tag"&gt;containの語源&lt;/span&gt;
containは、ラテン語com（共に）と、tenere（保持する）が合わさってできた語。
&lt;span class="spacer"&gt;&lt;/span&gt;ある状態や物を一緒にまとめて保っておくイメージから、感情を自分の内側にまとめて保つ＝「感情などを抑える」、物を何かの中にまとめて保つ＝「含む」という意味になる。
&lt;span class="spacer"&gt;&lt;/span&gt;&lt;span class="explanation_tag"&gt;イメージ&lt;/span&gt;
content / contentedは、動詞contain（含む）の形容詞と考える。自分の心の器の中にきっちりと何かが含まれていて、それ以上何かを望むことのない満足した状態を表す。
&lt;span class="spacer"&gt;&lt;/span&gt;［be content / contented with A］は、何で満たされているかをwith Aで示して、「Aに満足している」という意味になる。&lt;/span&gt;</t>
  </si>
  <si>
    <t>&lt;span class="w"&gt;&lt;b&gt;【571.be confronted with / by ~：（困難・問題など）に直面している】&lt;/b&gt;&lt;/span&gt;
&lt;span class="ml"&gt;confrontedは、動詞confrontの過去分詞。
&lt;span class="spacer"&gt;&lt;/span&gt;&lt;span class="explanation_tag"&gt;confrontの語源&lt;/span&gt;
confrontは、ラテン語com（共に）と、frontem（前面, 額）が合わさってできた語。
&lt;span class="spacer"&gt;&lt;/span&gt;相手の前面とこちらの前面が共に一致する（くっつく）イメージから、自分のすぐ前に何かがある＝「立ち向かう, 立ちはだかる」という意味になる。
&lt;span class="spacer"&gt;&lt;/span&gt;confrontは、［confront A with B］という形で、「AをBに直面させる, 立ちはだかるようにする」という意味になる。
&lt;span class="spacer"&gt;&lt;/span&gt;&lt;span class="explanation_tag"&gt;イメージ&lt;/span&gt;
［A be confronted with / by B］は、［confront A with B：AをBに直面させる］が、Aを主語とする受動態になったもの。そこから、「AはBに直面している」という意味になる。&lt;/span&gt;</t>
  </si>
  <si>
    <t>&lt;span class="w"&gt;&lt;b&gt;【573.be characteristic of ~：〜の特徴である, 〜に特有である】&lt;/b&gt;&lt;/span&gt;
&lt;span class="ml"&gt;&lt;span class="explanation_tag"&gt;イメージ&lt;/span&gt;
characteristicは、character（キャラクター）が形容詞になったもの。キャラクターは、それぞれの個性や特徴を持っているので、characteristicは、何かの「特徴である」、何かに「特有の」という意味になる。
&lt;span class="spacer"&gt;&lt;/span&gt;［be characteristic of A］は直訳の通り、「Aの特徴である」や「Aに特有である」という意味になる。&lt;/span&gt;</t>
  </si>
  <si>
    <t>&lt;span class="w"&gt;&lt;b&gt;【575.be ignorant of ~：〜知らない】&lt;/b&gt;&lt;/span&gt;
&lt;span class="ml"&gt;&lt;span class="explanation_tag"&gt;語源&lt;/span&gt;
ignorantは、ラテン語in（否定）と、gnarus（知っている）が合わさってできた語。そこから「知らない」という意味になる。
&lt;span class="spacer"&gt;&lt;/span&gt;［be ignorant of A］は、Aで対象を表して、「Aを知らない」という意味になる。&lt;/span&gt;</t>
  </si>
  <si>
    <t>&lt;span class="w"&gt;&lt;b&gt;【578.be guilty of ~：〜について有罪である, 〜の罪を犯している】&lt;/b&gt;&lt;/span&gt;
&lt;span class="ml"&gt;&lt;span class="explanation_tag"&gt;イメージ&lt;/span&gt;
guiltyは、guilt（罪, 罪悪感）が形容詞になったものと考えればよい。［be guilty of A］は、Aについて罪がある状態を表して、「Aについて有罪である, Aの罪を犯している」という意味になる。&lt;/span&gt;</t>
  </si>
  <si>
    <t>&lt;span class="w"&gt;&lt;b&gt;【580.be tolerant of ~：〜に対して寛容である】&lt;/b&gt;&lt;/span&gt;
&lt;span class="ml"&gt;&lt;span class="explanation_tag"&gt;イメージ&lt;/span&gt;
tolerantは、動詞tolerate（耐える）の形容詞として考えればよい。何かを耐えるということは、それを許容する余裕があるということ。
&lt;span class="spacer"&gt;&lt;/span&gt;［be tolerant of A］は、Aを耐えられるものとして受け入れることから、「Aに寛容である」という意味になる。&lt;/span&gt;</t>
  </si>
  <si>
    <t>&lt;span class="w"&gt;&lt;b&gt;【581.be wary of ~：〜に用心深い】&lt;/b&gt;&lt;/span&gt;
&lt;span class="ml"&gt;&lt;span class="explanation_tag"&gt;語源&lt;/span&gt;
waryは、古英語wær（気づいている, 警戒している）と、y（形容詞化）が合わさってできた語。古英語wærからは、aware（気づいている, 認識している）も生まれている。
&lt;span class="spacer"&gt;&lt;/span&gt;waryとawareのどちらも、核は「意識や注意を向けている状態」。
&lt;span class="spacer"&gt;&lt;/span&gt;［be wary of A］は、Aに意識や注意を向けることから、「Aに用心している」という意味になる。&lt;/span&gt;</t>
  </si>
  <si>
    <t>&lt;span class="w"&gt;&lt;b&gt;【582.be suitable for / to ~：〜に適している】&lt;/b&gt;&lt;/span&gt;
&lt;span class="ml"&gt;suitableは、動詞suit（適する, 似合う）が形容詞になったものと考えればよい。
&lt;span class="spacer"&gt;&lt;/span&gt;&lt;span class="explanation_tag"&gt;suitの語源&lt;/span&gt;
動詞suitは、名詞suitから派生したもの。名詞suitは、ラテン語sequi（付き従う, 追う）に由来し、1300年頃の中英語では、ある人に付き従う人たちの一団や、そのような人々が着るお揃いの衣服を意味した&lt;span class="obsolete"&gt;（これが現在の「スーツ」の由来）&lt;/span&gt;。
&lt;span class="spacer"&gt;&lt;/span&gt;動詞suit（適する, 似合う）への発展は、そのような同じ服を着た一団に加わることに由来すると考えられる。
&lt;span class="spacer"&gt;&lt;/span&gt;つまり、付き人たちの仲間に加わるということは、その集団に入り、お揃いの服を着る能力や素質がある者なので、集団に入るのに「適する」、そしてお揃いの服が「似合う」という意味になったと考えられる。
&lt;span class="spacer"&gt;&lt;/span&gt;そしてそこから、何かに「適する」、何かが「似合う, 合う」といった意味へと広がっていった。
&lt;span class="spacer"&gt;&lt;/span&gt;&lt;span class="explanation_tag"&gt;イメージ&lt;/span&gt;
［be suitable for / to A］は、Aに対して合っていることから、「Aに適している」という意味になる。&lt;/span&gt;</t>
  </si>
  <si>
    <t>&lt;span class="w"&gt;&lt;b&gt;【583.be grateful (to A) for B：Bのことで（Aに）感謝している】&lt;/b&gt;&lt;/span&gt;
&lt;span class="ml"&gt;&lt;span class="explanation_tag"&gt;語源&lt;/span&gt;
gratefulは、ラテン語grate（好ましい, 喜ばしい, 感謝される）に由来し、英語段階でful（満ちた）が付いた。
&lt;span class="spacer"&gt;&lt;/span&gt;ありがたい出来事を受け取って喜びに満ちることから、感謝の気持ちが生まれ、何かに対して「感謝している」という意味になる。
&lt;span class="spacer"&gt;&lt;/span&gt;［be grateful (to A) for B］は直訳の通り、「Bのことで（Aに）感謝している」という意味になる。
&lt;span class="spacer"&gt;&lt;/span&gt;&lt;span class="explanation_tag"&gt;関連語&lt;/span&gt;
ラテン語grate（喜ばしい）からは、以下の語も生まれている。
&lt;span class="spacer"&gt;&lt;/span&gt;con&lt;strong&gt;grat&lt;/strong&gt;ulate
con&lt;strong&gt;grat&lt;/strong&gt;ulation
喜ばしいことから、祝うという意味になった。&lt;/span&gt;</t>
  </si>
  <si>
    <t>&lt;span class="w"&gt;&lt;b&gt;【585.come down with ~：（病気）にかかる】&lt;/b&gt;&lt;/span&gt;
&lt;span class="ml"&gt;&lt;span class="explanation_tag"&gt;イメージ&lt;/span&gt;
［come down with 病気］は、病気を抱えて（with 病気）体調・体が下に崩れる（down）状態になる（come）イメージから、「（病気）にかかる」という意味になる。&lt;/span&gt;</t>
  </si>
  <si>
    <t>&lt;span class="w"&gt;&lt;b&gt;【586.come into being / existence：出現する】&lt;/b&gt;&lt;/span&gt;
&lt;span class="ml"&gt;existence（存在）は、exist（存在する）の名詞として覚えればよい。
&lt;span class="spacer"&gt;&lt;/span&gt;&lt;span class="explanation_tag"&gt;existの語源&lt;/span&gt;
existは、ラテン語ex（外に）と、sistere（立たせる）が合わさってできた語。
&lt;span class="spacer"&gt;&lt;/span&gt;見えないところから外側に出て立たせる。その結果、目の前に現れて「存在する」という意味になる。
&lt;span class="spacer"&gt;&lt;/span&gt;&lt;span class="explanation_tag"&gt;イメージ&lt;/span&gt;
［come into being / existence］は直訳すると、存在（being / existence）の中に（into）来る（come）となる。これは、存在しない状態から存在する状態になることを表して、「出現する」という意味になる。
&lt;span class="spacer"&gt;&lt;/span&gt;&lt;span class="explanation_tag"&gt;補足&lt;/span&gt;
come, goには「ある状態になる」という意味があるので、覚えておくとよい。&lt;/span&gt;</t>
    <rPh sb="52" eb="54">
      <t>シュツゲン</t>
    </rPh>
    <rPh sb="96" eb="98">
      <t>ソンザイ</t>
    </rPh>
    <rPh sb="107" eb="109">
      <t>ソンザイ</t>
    </rPh>
    <rPh sb="113" eb="115">
      <t>メイシ</t>
    </rPh>
    <rPh sb="118" eb="119">
      <t>オボ</t>
    </rPh>
    <rPh sb="210" eb="211">
      <t>ゴ</t>
    </rPh>
    <rPh sb="233" eb="234">
      <t>ア</t>
    </rPh>
    <rPh sb="241" eb="242">
      <t>ゴ</t>
    </rPh>
    <rPh sb="419" eb="421">
      <t>チョクヤク</t>
    </rPh>
    <rPh sb="425" eb="427">
      <t>ソンザイ</t>
    </rPh>
    <rPh sb="447" eb="448">
      <t>ナカ</t>
    </rPh>
    <rPh sb="455" eb="456">
      <t>ク</t>
    </rPh>
    <rPh sb="471" eb="473">
      <t>ソンザイ</t>
    </rPh>
    <rPh sb="476" eb="478">
      <t>ジョウタイ</t>
    </rPh>
    <rPh sb="480" eb="482">
      <t>ソンザイ</t>
    </rPh>
    <rPh sb="484" eb="486">
      <t>ジョウタイ</t>
    </rPh>
    <rPh sb="492" eb="493">
      <t>アラワ</t>
    </rPh>
    <rPh sb="497" eb="499">
      <t>シュツゲン</t>
    </rPh>
    <rPh sb="505" eb="507">
      <t>イミ</t>
    </rPh>
    <rPh sb="593" eb="595">
      <t>ジョウタイ</t>
    </rPh>
    <rPh sb="602" eb="604">
      <t>イミ</t>
    </rPh>
    <rPh sb="610" eb="611">
      <t>オボ</t>
    </rPh>
    <phoneticPr fontId="1"/>
  </si>
  <si>
    <t>&lt;span class="w"&gt;&lt;b&gt;【587.come true：実現する】&lt;/b&gt;&lt;/span&gt;
&lt;span class="ml"&gt;このcomeは「ある状態になる」という意味。［S come true］で、Sがtrue（真実）になる＝「実現する」という意味になる。&lt;/span&gt;</t>
    <rPh sb="34" eb="36">
      <t>ジツゲン</t>
    </rPh>
    <rPh sb="78" eb="80">
      <t>ジョウタイ</t>
    </rPh>
    <rPh sb="87" eb="89">
      <t>イミ</t>
    </rPh>
    <rPh sb="112" eb="114">
      <t>シンジツ</t>
    </rPh>
    <rPh sb="120" eb="122">
      <t>ジツゲン</t>
    </rPh>
    <rPh sb="128" eb="130">
      <t>イミ</t>
    </rPh>
    <phoneticPr fontId="1"/>
  </si>
  <si>
    <t>&lt;span class="w"&gt;&lt;b&gt;【589.get in touch (with ~)：（～と）連絡を取る】&lt;/b&gt;&lt;/span&gt;
&lt;span class="ml"&gt;&lt;span class="explanation_tag"&gt;イメージ&lt;/span&gt;
［get in touch (with A)］は、（Aと）接触している状態（in touch）になる（get）ことから、「Aと連絡を取る」といういみになる。&lt;/span&gt;</t>
    <rPh sb="50" eb="52">
      <t>レンラク</t>
    </rPh>
    <rPh sb="53" eb="54">
      <t>ト</t>
    </rPh>
    <rPh sb="156" eb="158">
      <t>セッショク</t>
    </rPh>
    <rPh sb="162" eb="164">
      <t>ジョウタイ</t>
    </rPh>
    <rPh sb="190" eb="192">
      <t>レンラク</t>
    </rPh>
    <rPh sb="193" eb="194">
      <t>ト</t>
    </rPh>
    <phoneticPr fontId="1"/>
  </si>
  <si>
    <t>&lt;span class="w"&gt;&lt;b&gt;【590.go blind：失明する】&lt;/b&gt;&lt;/span&gt;
&lt;span class="ml"&gt;&lt;span class="explanation_tag"&gt;イメージ&lt;/span&gt;
このgoは、「～になる」という意味。
&lt;span class="spacer"&gt;&lt;/span&gt;［go blind］は、目が見えない状態（blind）になる（go）ことから、「失明する」という意味になる。
&lt;span class="spacer"&gt;&lt;/span&gt;&lt;span class="explanation_tag"&gt;補足&lt;/span&gt;
blind（目が見えない, 失明した, ブラインド）は、ブラインドサッカーや日よけのブラインドなど、日本語でも使われる。&lt;/span&gt;</t>
    <rPh sb="33" eb="35">
      <t>シツメイ</t>
    </rPh>
    <rPh sb="124" eb="126">
      <t>イミ</t>
    </rPh>
    <rPh sb="168" eb="169">
      <t>メ</t>
    </rPh>
    <rPh sb="170" eb="171">
      <t>ミ</t>
    </rPh>
    <rPh sb="174" eb="176">
      <t>ジョウタイ</t>
    </rPh>
    <rPh sb="196" eb="198">
      <t>シツメイ</t>
    </rPh>
    <rPh sb="204" eb="206">
      <t>イミ</t>
    </rPh>
    <rPh sb="285" eb="286">
      <t>メ</t>
    </rPh>
    <rPh sb="287" eb="288">
      <t>ミ</t>
    </rPh>
    <rPh sb="293" eb="295">
      <t>シツメイ</t>
    </rPh>
    <rPh sb="317" eb="318">
      <t>ヒ</t>
    </rPh>
    <rPh sb="329" eb="332">
      <t>ニホンゴ</t>
    </rPh>
    <rPh sb="334" eb="335">
      <t>ツカ</t>
    </rPh>
    <phoneticPr fontId="1"/>
  </si>
  <si>
    <t>&lt;span class="w"&gt;&lt;b&gt;【591.have A in common (with B)：（Bと）共通にAを持っている】&lt;/b&gt;&lt;/span&gt;
&lt;span class="ml"&gt;［have A in common (with B)］は直訳の通り、「Bと（with B）共通に（in common）Aを持っている」という意味になる。&lt;/span&gt;</t>
    <rPh sb="54" eb="56">
      <t>キョウツウ</t>
    </rPh>
    <rPh sb="59" eb="60">
      <t>モ</t>
    </rPh>
    <rPh sb="122" eb="124">
      <t>チョクヤク</t>
    </rPh>
    <rPh sb="125" eb="126">
      <t>トオ</t>
    </rPh>
    <rPh sb="139" eb="141">
      <t>キョウツウ</t>
    </rPh>
    <rPh sb="155" eb="156">
      <t>モ</t>
    </rPh>
    <rPh sb="164" eb="166">
      <t>イミ</t>
    </rPh>
    <phoneticPr fontId="1"/>
  </si>
  <si>
    <t>&lt;span class="w"&gt;&lt;b&gt;【592.keep / bear ~ in mind：～を心にとどめておく】&lt;/b&gt;&lt;/span&gt;
&lt;span class="ml"&gt;&lt;span class="explanation_tag"&gt;bearの語源&lt;/span&gt;
bearは、古英語beran（運ぶ, 持ってくる, 耐える, 産む）にさかのぼる。この語の核は「何かを抱えこむ」というイメージ。bearの過去分詞はborn（生まれる）からも抱え込むイメージが浮かぶ。
&lt;span class="spacer"&gt;&lt;/span&gt;子どもをお腹に抱えこむ＝「産む」
負担や辛いことを抱えこむ＝「耐える」
考えを頭や心に抱えこむ＝「心に抱く」
&lt;span class="spacer"&gt;&lt;/span&gt;&lt;span class="explanation_tag"&gt;イメージ&lt;/span&gt;
［keep / bear A in mind］は、Aを心の中に（in mind）保つ（keep） / 抱え込む（bear）ことから、「Aを心の中にとどめておく」という意味になる。&lt;/span&gt;</t>
    <rPh sb="48" eb="49">
      <t>ココロ</t>
    </rPh>
    <rPh sb="412" eb="413">
      <t>ココロ</t>
    </rPh>
    <rPh sb="414" eb="415">
      <t>ナカ</t>
    </rPh>
    <rPh sb="425" eb="426">
      <t>タモ</t>
    </rPh>
    <rPh sb="436" eb="437">
      <t>カカ</t>
    </rPh>
    <rPh sb="438" eb="439">
      <t>コ</t>
    </rPh>
    <rPh sb="454" eb="455">
      <t>ココロ</t>
    </rPh>
    <rPh sb="456" eb="457">
      <t>ナカ</t>
    </rPh>
    <rPh sb="468" eb="470">
      <t>イミ</t>
    </rPh>
    <phoneticPr fontId="1"/>
  </si>
  <si>
    <t>&lt;span class="w"&gt;&lt;b&gt;【594.make it：成功する, うまくやる, 間に合う】&lt;/b&gt;&lt;/span&gt;
&lt;span class="ml"&gt;&lt;span class="explanation_tag"&gt;イメージ&lt;/span&gt;
［make it］のitは、具体的な意味はなく、ある状況におけるゴール・目的を漠然とさす語。ある状況で望ましいこと（it）を為す（make）ことから、「成功する, うまくやる, 間に合う」といった意味になる。
&lt;span class="spacer"&gt;&lt;/span&gt;どのような状況かによって日本語訳は変わるので、文脈に応じて理解すればよい。&lt;/span&gt;</t>
    <rPh sb="45" eb="46">
      <t>マ</t>
    </rPh>
    <rPh sb="47" eb="48">
      <t>ア</t>
    </rPh>
    <rPh sb="135" eb="138">
      <t>グタイテキ</t>
    </rPh>
    <rPh sb="139" eb="141">
      <t>イミ</t>
    </rPh>
    <rPh sb="147" eb="149">
      <t>ジョウキョウ</t>
    </rPh>
    <rPh sb="157" eb="159">
      <t>モクテキ</t>
    </rPh>
    <rPh sb="160" eb="162">
      <t>バクゼン</t>
    </rPh>
    <rPh sb="165" eb="166">
      <t>ゴ</t>
    </rPh>
    <rPh sb="169" eb="171">
      <t>ジョウキョウ</t>
    </rPh>
    <rPh sb="172" eb="173">
      <t>ノゾ</t>
    </rPh>
    <rPh sb="183" eb="184">
      <t>ナ</t>
    </rPh>
    <rPh sb="219" eb="221">
      <t>イミ</t>
    </rPh>
    <rPh sb="259" eb="261">
      <t>ジョウキョウ</t>
    </rPh>
    <rPh sb="266" eb="271">
      <t>ニホンゴ</t>
    </rPh>
    <rPh sb="271" eb="272">
      <t>カ</t>
    </rPh>
    <rPh sb="277" eb="279">
      <t>ブンミャク</t>
    </rPh>
    <rPh sb="280" eb="281">
      <t>オウ</t>
    </rPh>
    <rPh sb="283" eb="285">
      <t>リカイ</t>
    </rPh>
    <phoneticPr fontId="1"/>
  </si>
  <si>
    <t>put ~ into practice / operation</t>
    <phoneticPr fontId="1"/>
  </si>
  <si>
    <t>&lt;span class="w"&gt;&lt;b&gt;【595.put ~ into practice / operation：～を実行する】&lt;/b&gt;&lt;/span&gt;
&lt;span class="ml"&gt;［put A into practice / operation］は直訳の通り、Aを実際に行うこと（practice / operation）の中へ置くイメージから、「Aを実行する」という意味になる。&lt;/span&gt;</t>
    <rPh sb="58" eb="60">
      <t>ジッコウ</t>
    </rPh>
    <rPh sb="126" eb="128">
      <t>チョクヤク</t>
    </rPh>
    <rPh sb="129" eb="130">
      <t>トオ</t>
    </rPh>
    <rPh sb="134" eb="136">
      <t>ジッサイ</t>
    </rPh>
    <rPh sb="137" eb="138">
      <t>オコナ</t>
    </rPh>
    <rPh sb="164" eb="165">
      <t>ナカ</t>
    </rPh>
    <rPh sb="166" eb="167">
      <t>オ</t>
    </rPh>
    <rPh sb="178" eb="180">
      <t>ジッコウ</t>
    </rPh>
    <rPh sb="186" eb="188">
      <t>イミ</t>
    </rPh>
    <phoneticPr fontId="1"/>
  </si>
  <si>
    <t>in contrast to / with ~</t>
    <phoneticPr fontId="1"/>
  </si>
  <si>
    <t>&lt;span class="w"&gt;&lt;b&gt;【597.take ~ by surprise：～を驚かす】&lt;/b&gt;&lt;/span&gt;
&lt;span class="ml"&gt;&lt;span class="explanation_tag"&gt;イメージ&lt;/span&gt;
［take A by surprise］は直訳すると、驚きによって（by surprise）Aをつかむ（take A）となる。予想外のことによってAをとらえることから、「Aを驚かす」という意味になる。&lt;/span&gt;</t>
  </si>
  <si>
    <t>&lt;span class="w"&gt;&lt;b&gt;【599.in contrast to / with ~：～と違って, ～とは対照的に】&lt;/b&gt;&lt;/span&gt;
&lt;span class="ml"&gt;&lt;span class="explanation_tag"&gt;語源&lt;/span&gt;
contrastは、ラテン語contra（〜に対して）と、stare（立つ）が合わさってできた語。あるものに対して、それとは反対の位置に立つことから、「対照, 対照的であること」を表す。
&lt;span class="spacer"&gt;&lt;/span&gt;&lt;span class="explanation_tag"&gt;イメージ&lt;/span&gt;
［in contrast to / with A］は語源から考えると、Aに対して（to A）/ Aと（with A）反対のところに立つというイメージ。そこから「Aと違って, Aとは対照的に」という意味になる。&lt;/span&gt;</t>
  </si>
  <si>
    <t>&lt;span class="w"&gt;&lt;b&gt;【600.in danger of ~：～の危険があって】&lt;/b&gt;&lt;/span&gt;
&lt;span class="ml"&gt;［in danger of A］は直訳すると、Aという危険（danger of A）の中にいる（in）となる。そこから「Aの危険があって」という意味になる。&lt;/span&gt;</t>
  </si>
  <si>
    <t>&lt;span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t>
    <phoneticPr fontId="1"/>
  </si>
  <si>
    <t>&lt;span class="w"&gt;&lt;b&gt;【60.practice：実践, 練習, 慣習】&lt;/b&gt;&lt;/span&gt;
&lt;span class="ml"&gt;ラテン語practicare（実際に行う）に由来する。
&lt;span class="spacer"&gt;&lt;/span&gt;practiceは、中学校でhs「練習」と覚えるが、もとの意味は実際に何かを行うこと＝「実践」。ある技能を身につけるために繰り返し実践することから「練習」となり、社会的に実践が繰り返されて「慣習」という意味にもなる。&lt;/span&gt;</t>
  </si>
  <si>
    <t>&lt;span class="w"&gt;&lt;b&gt;【229.exchange：～を交換する, 両替する】&lt;/b&gt;&lt;/span&gt;
&lt;span class="ml"&gt;ラテン語に由来する語で、以下の2つの要素から成る。
&lt;span class="spacer"&gt;&lt;/span&gt;ex（外へ）
cambire（交換する）
&lt;span class="spacer"&gt;&lt;/span&gt;このまま日本語にすると「外へ交換する」となる。自分の持っているものを、外部の人の等しい価値のものと交換するイメージから、「交換する, 両替する」という意味になる。&lt;/span&gt;</t>
  </si>
  <si>
    <t>&lt;span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t>
  </si>
  <si>
    <t>&lt;span class="w"&gt;&lt;b&gt;【874.sake：（for the sake of）〜のために（利益・目的など）】&lt;/b&gt;&lt;/span&gt;
&lt;span class="ml"&gt;古英語sacu（訴訟の原因, 犯罪, 争い）にさかのぼる。
&lt;span class="spacer"&gt;&lt;/span&gt;古英語や中英語では、訴訟の原因、犯罪、争いなどの多様な意味を持っていたが、それらの意味にはcaseやcauseが使われるようになった。
&lt;span class="spacer"&gt;&lt;/span&gt;現在sakeは、for the sake of / for one's sake（〜のために）などの決まった表現に残っている。そのためこのフレーズで覚えておく。&lt;/span&gt;</t>
  </si>
  <si>
    <t>&lt;span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&lt;div class="sample_image virtue"&gt;&lt;/div&gt;&lt;/span&gt;</t>
  </si>
  <si>
    <t>&lt;span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t>
  </si>
  <si>
    <t>&lt;span class="w"&gt;&lt;b&gt;【500.exchange A for B：AをBと交換する（価値の等しいもの同士の交換）】&lt;/b&gt;&lt;/span&gt;
&lt;span class="ml"&gt;&lt;span class="explanation_tag"&gt;イメージ&lt;/span&gt;
［exchange A for B］は、お金の両替・名刺の交換・情報交換・人質の交換など、等しい価値のもの同士を交換することを表して、「AをBと交換する」という意味になる。&lt;/span&gt;</t>
  </si>
  <si>
    <t>&lt;span class="w"&gt;&lt;b&gt;【601.in need of ~：〜を必要として】&lt;/b&gt;&lt;/span&gt;
&lt;span class="ml"&gt;［in need of A］は直訳すると、Aを必要な状態の中にいることを表して、「〜を必要としている」という意味になる。&lt;/span&gt;</t>
  </si>
  <si>
    <t>&lt;span class="w"&gt;&lt;b&gt;【602.in response to ~：〜に答えて（応じて）】&lt;/b&gt;&lt;/span&gt;
&lt;span class="ml"&gt;responseは、動詞respond（応える, 反応する）の名詞と考えればよい。
&lt;span class="spacer"&gt;&lt;/span&gt;&lt;span class="explanation_tag"&gt;respondの語源&lt;/span&gt;
respondは、ラテン語re（戻る）と、spondere（約束する）が合わさってできた語。
&lt;span class="spacer"&gt;&lt;/span&gt;相手が言ったことに自分も約束を返す（戻す）というイメージから、相手に「答える」や、こちらに来るものに「反応する」という意味になる。
&lt;span class="spacer"&gt;&lt;/span&gt;&lt;span class="explanation_tag"&gt;イメージ&lt;/span&gt;
［in response to A］は、Aに対して反応した状態の中にいることを表して、「Aに答えて, 応じて」という意味になる。&lt;/span&gt;</t>
  </si>
  <si>
    <t>&lt;span class="w"&gt;&lt;b&gt;【604.in the face of ~：①〜に直面して, ②〜にもかかわらず】&lt;/b&gt;&lt;/span&gt;
&lt;span class="ml"&gt;&lt;span class="explanation_tag"&gt;イメージ&lt;/span&gt;
［in (the) face of A］は、Aの顔を前にしている状況の中にいることを表して、「Aに直面して」という意味になる。
&lt;span class="spacer"&gt;&lt;/span&gt;また、何かに直面しながらも突き進むようなイメージだと、「〜にもかかわらず」という意味になる。
&lt;/span&gt;</t>
  </si>
  <si>
    <t>&lt;span class="w"&gt;&lt;b&gt;【606.in relation to ~：①〜に関連して, ②〜と比べて】&lt;/b&gt;&lt;/span&gt;
&lt;span class="ml"&gt;relationは、動詞relate（関連づける, 関連している）の名詞と考えればよい。
&lt;span class="spacer"&gt;&lt;/span&gt;&lt;span class="explanation_tag"&gt;語源&lt;/span&gt;
relateは、ラテン語re（再び）と、ferre（運ぶ）の過去分詞latusが合わさってできた語。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&lt;span class="spacer"&gt;&lt;/span&gt;&lt;span class="explanation_tag"&gt;イメージ&lt;/span&gt;
［in relation to A］は、①Aに対して結びついている状態や、②Aに結びつけて比べている状態を表す。そこから、①「Aに関連している」、②「Aと比べて」という意味になる。&lt;/span&gt;</t>
  </si>
  <si>
    <t>&lt;span class="w"&gt;&lt;b&gt;【608.in the presence of ~：〜の面前で, 〜のいるところで】&lt;/b&gt;&lt;/span&gt;
&lt;span class="ml"&gt;&lt;span class="explanation_tag"&gt;語源&lt;/span&gt;
presenceは、ラテン語prae（前に）と、esse（存在する）が合わさってできた語。まさに目の前に存在するというイメージから、「存在, 出席, 面前」という意味になる。
&lt;span class="spacer"&gt;&lt;/span&gt;&lt;span class="explanation_tag"&gt;イメージ&lt;/span&gt;
［in the presence of A］は、Aの目の前にいる状態を表して、「Aの面前で, Aのいるところで」という意味になる。&lt;/span&gt;</t>
  </si>
  <si>
    <t>&lt;span class="w"&gt;&lt;b&gt;【609.in honor of ~：〜に敬意を表して】&lt;/b&gt;&lt;/span&gt;
&lt;span class="ml"&gt;&lt;span class="explanation_tag"&gt;語源&lt;/span&gt;
honorは、ラテン語honorem（名誉, 名声）に由来する。ラテン語から変わらず「名誉」という意味をもつ。「名誉」ある人は「敬意」を向けられて「光栄」と覚える。
&lt;span class="spacer"&gt;&lt;/span&gt;［in honor of A］は、Aへの敬意を持った状態の中にいることを表して、「Aに敬意を表して」という意味になる。&lt;/span&gt;</t>
  </si>
  <si>
    <t>&lt;span class="w"&gt;&lt;b&gt;【611.in harmony with ~：〜と調和して】&lt;/b&gt;&lt;/span&gt;
&lt;span class="ml"&gt;&lt;span class="explanation_tag"&gt;イメージ&lt;/span&gt;
［in harmony with A］は直訳すると、Aとの（with A）ハーモニー（harmony）の中で（in）となる。そこから「Aと調和して」という意味になる。&lt;/span&gt;</t>
  </si>
  <si>
    <t>&lt;span class="w"&gt;&lt;b&gt;【612.in exchange for ~：〜と交換に】&lt;/b&gt;&lt;/span&gt;
&lt;span class="ml"&gt;&lt;span class="explanation_tag"&gt;語源&lt;/span&gt;
動詞exchangeは、ラテン語ex（外へ）と、cambire（交換する）が合わさってできた語。自分の持っているものを、外部の人の等しい価値のものと交換するイメージから、「交換する, 両替する」という意味になる。
&lt;span class="spacer"&gt;&lt;/span&gt;&lt;span class="explanation_tag"&gt;イメージ&lt;/span&gt;
［exchange A for B］は、お金の両替・名刺の交換・情報交換・人質の交換など、等しい価値のもの同士を交換することを表して、「AをBと交換する」という意味になる。
&lt;span class="spacer"&gt;&lt;/span&gt;［in exchange for A］は、「Aと交換に」という意味になる。&lt;/span&gt;</t>
  </si>
  <si>
    <t>&lt;span class="w"&gt;&lt;b&gt;【613.for the sake of ~：〜のために（利益・目的）】&lt;/b&gt;&lt;/span&gt;
&lt;span class="ml"&gt;&lt;span class="explanation_tag"&gt;語源&lt;/span&gt;
古英語sacu（訴訟の原因, 犯罪, 争い）にさかのぼる。古英語や中英語では、訴訟の原因、犯罪、争い、論争、非難などの多様な意味を持っていたが、それらの意味にはcaseやcauseなど、別の語が使われるようになった。
&lt;span class="spacer"&gt;&lt;/span&gt;英語よりもさらに前のゲルマン祖語にさかのぼると、*sako（事柄, 案件, 告発）にたどり着く。sakeは、この「事柄」というニュアンスで考えればよい。
&lt;span class="spacer"&gt;&lt;/span&gt;&lt;span class="explanation_tag"&gt;イメージ&lt;/span&gt;
現在sakeは、［for the sake of A］や［for one's sake］などの決まった表現で使われる。
&lt;span class="spacer"&gt;&lt;/span&gt;Aという事柄（the sake of A）のために（for）というイメージから、「（利益・目的）のために」という意味になる。&lt;/span&gt;</t>
  </si>
  <si>
    <t>&lt;span class="w"&gt;&lt;b&gt;【614.for fear of ~：〜を恐れて】&lt;/b&gt;&lt;/span&gt;
&lt;span class="ml"&gt;［for fear of A］は直訳すると、Aという恐れ（fear of A）のために（for）となる。そこから、「Aを恐れて」という意味になる。&lt;/span&gt;</t>
  </si>
  <si>
    <t>&lt;span class="w"&gt;&lt;b&gt;【615.for lack / want of ~：〜がないために, 〜が不足しているために】&lt;/b&gt;&lt;/span&gt;
&lt;span class="ml"&gt;&lt;span class="explanation_tag"&gt;語源&lt;/span&gt;
wantは、古ノルド語vanta（欠けている, 不足している）にさかのぼる。現代では「欲する」という意味で使われるが、もともとは何かが不足していることを表し、そこから不足しているものを欲するという心の動きに発展した。
&lt;span class="spacer"&gt;&lt;/span&gt;［for want of A］は、1400年頃から記録されており、もとの意味である「不足」と理由を表すforが合わさって、「Aがないために, Aが不足しているために」という意味になる。
&lt;span class="spacer"&gt;&lt;/span&gt;wantの代わりに、同じく「不足」を意味するlackを使った［for lack of A］も「Aがないために, Aが不足しているために」という意味になる。&lt;/span&gt;</t>
  </si>
  <si>
    <t>&lt;span class="w"&gt;&lt;b&gt;【617.at the sight of ~：〜を見て】&lt;/b&gt;&lt;/span&gt;
&lt;span class="ml"&gt;&lt;span class="explanation_tag"&gt;イメージ&lt;/span&gt;
sightは、seeの名詞として覚えればよい。
［at the sight of A］は直訳すると、「Aを見ることで」となる。そこから「Aを見て」という意味になる。&lt;/span&gt;</t>
  </si>
  <si>
    <t>&lt;span class="w"&gt;&lt;b&gt;【619.as opposed to ~：〜ではなく, 〜に対して, 〜とは対照的に】&lt;/b&gt;&lt;/span&gt;
&lt;span class="ml"&gt;&lt;span class="explanation_tag"&gt;語源&lt;/span&gt;
opposeは、ラテン語ob（〜に対して）と、ponere（置く）が合さってできた語。相手に対して自分を置く、つまり相手と自分が向かい合うように置くイメージから「反対する, 対抗させる」という意味になる。
&lt;span class="spacer"&gt;&lt;/span&gt;&lt;span class="explanation_tag"&gt;イメージ&lt;/span&gt;
［A as opposed to B］は、Bに対して（to  B）反対に置かれたもの（opposed）として（as）のAというイメージ。そこから、「BではなくA」「Bに対してA」「Bとは対照的にA」といった意味になる。&lt;/span&gt;</t>
  </si>
  <si>
    <t>&lt;span class="w"&gt;&lt;b&gt;【620.by means of ~：〜によって】&lt;/b&gt;&lt;/span&gt;
&lt;span class="ml"&gt;&lt;span class="explanation_tag"&gt;語源&lt;/span&gt;
meansは、ラテン語medius（中間の）に由来し、この語の核は「スタートとゴールの中間にあるもの」。そこから、ゴール（目的）に到達するための「手段」という意味になった。また目的を達成するための手段として「資力, 収入」という意味にもなった。
&lt;span class="spacer"&gt;&lt;/span&gt;&lt;span class="explanation_tag"&gt;イメージ&lt;/span&gt;
［by means of A］は直訳の通り、「A（という手段）によって」という意味になる。&lt;/span&gt;</t>
  </si>
  <si>
    <t>&lt;span class="w"&gt;&lt;b&gt;【621.by / in virtue of ~：〜のおかげで, 〜によって】&lt;/b&gt;&lt;/span&gt;
&lt;span class="ml"&gt;&lt;span class="explanation_tag"&gt;語源&lt;/span&gt;
virtueは、ラテン語vir（男）に由来し、この語の核は「男にふさわしい力強さ」。
&lt;span class="spacer"&gt;&lt;/span&gt;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&lt;span class="spacer"&gt;&lt;/span&gt;&lt;span class="explanation_tag"&gt;イメージ&lt;/span&gt;
［by / in virtue of A］のvirtueは「効能, 効力」という意味。直訳すると、「Aの効力によって」「Aの効力において」となる。そこから「Aのおかげで, Aによって」という意味になる。&lt;/span&gt;</t>
  </si>
  <si>
    <t>&lt;span class="w"&gt;&lt;b&gt;【624.with / in regard to ~：〜に関して】&lt;/b&gt;&lt;/span&gt;
&lt;span class="ml"&gt;&lt;span class="explanation_tag"&gt;語源&lt;/span&gt;
regardは、古フランス語re（強意）と、garder（見る, 注意する）が合さってできた語。このgarderは、ボディガードのguard（監視者）の語源でもある。つまり、gard部分の意味の核は「注意して見ること」。ここからregardは、以下のような意味になる。
&lt;span class="spacer"&gt;&lt;/span&gt;①「注意を向けること」
②何かに注意を向けるということは、その対象に注意を向ける価値があるということから、「敬意」
③注意というニュアンスが薄まってただ対象に「目を向けること, 関連」
&lt;span class="spacer"&gt;&lt;/span&gt;&lt;span class="explanation_tag"&gt;イメージ&lt;/span&gt;
［with / in regard to A］は、Aという話題に目を向ける（regard to A）状況・状態（with / in）を表す。そこから「Aに関して」という話題の限定する表現になる。&lt;/span&gt;</t>
  </si>
  <si>
    <t>&lt;span class="w"&gt;&lt;b&gt;【625.in part：部分的には, 一部には】&lt;/b&gt;&lt;/span&gt;
&lt;span class="ml"&gt;［in part］は直訳すると、部分において（in part）となる。その直訳の通り、「部分的には」「一部は」という意味になる。
&lt;/span&gt;</t>
  </si>
  <si>
    <t>&lt;span class="w"&gt;&lt;b&gt;【626.in turn：順番に】&lt;/b&gt;&lt;/span&gt;
&lt;span class="ml"&gt;［in turn］は直訳の通り、順番において＝「順番に, 順々に」という意味になる。&lt;/span&gt;</t>
  </si>
  <si>
    <t>&lt;span class="w"&gt;&lt;b&gt;【628.in practice：実際には】&lt;/b&gt;&lt;/span&gt;
&lt;span class="ml"&gt;&lt;span class="explanation_tag"&gt;語源&lt;/span&gt;
practiceは、ラテン語practicare（実際に行う）に由来する。
&lt;span class="spacer"&gt;&lt;/span&gt;practiceは、中学校では「練習」と覚えるが、もとの意味は実際に何かを行うこと＝「実践」。ある技能を身につけるために繰り返し実践することから「練習」となり、社会的に実践が繰り返されて「慣習」という意味にもなる。
&lt;span class="spacer"&gt;&lt;/span&gt;&lt;span class="explanation_tag"&gt;イメージ&lt;/span&gt;
［in practice］は直訳すると、実際に行われること（practice）において（in）となる。つまり、理論や仮説ではなく、事実・現実であることを表して、「実際には」という意味になる。&lt;/span&gt;</t>
  </si>
  <si>
    <t>&lt;span class="w"&gt;&lt;b&gt;【629.in demand：需要があって】&lt;/b&gt;&lt;/span&gt;
&lt;span class="ml"&gt;&lt;span class="explanation_tag"&gt;語源&lt;/span&gt;
demandは、ラテン語de（完全に）と、mandare（命じる, 委ねる）が合さってできた語。自分の望みを相手に命じて完全に委ねるイメージから、相手への「要求」や誰かからの「需要」という意味になる。
&lt;span class="spacer"&gt;&lt;/span&gt;&lt;span class="explanation_tag"&gt;イメージ&lt;/span&gt;
［in demand］は、需要がある状態の中にいることを表して、「需要があって」という意味になる。&lt;/span&gt;</t>
  </si>
  <si>
    <t>&lt;span class="w"&gt;&lt;b&gt;【630.in the meanwhile / meantime：その間に, 一方で】&lt;/b&gt;&lt;/span&gt;
&lt;span class="ml"&gt;&lt;span class="explanation_tag"&gt;meanwhile / meantimeの語源&lt;/span&gt;
形容詞meanは、ラテン語medius（中間の）に由来する。これは名詞means（手段）と同じである。
&lt;span class="spacer"&gt;&lt;/span&gt;whileは、古英語hwileにさかのぼる。この頃は時間という意味を持っていたが、後に時間を指す語としてtimeが一般的に使われるようになったため、meanwhile, all the while, for a whileのような決まった表現にしか「時間」という意味は残っていない。
&lt;span class="spacer"&gt;&lt;/span&gt;mean（中間の）とwhile / time（時間）が合さったmeanwhile / meantimeは、「何かの間の時間」を意味する。
&lt;span class="spacer"&gt;&lt;/span&gt;&lt;span class="explanation_tag"&gt;イメージ&lt;/span&gt;
［in the meanwhile / meantime］は直訳すると、何かの間の時間（meanwhile / meantime）において（in）となる。Aという出来事が進行している間の時間で、Bという出来事が進んでいるという同時性を表す。
&lt;span class="spacer"&gt;&lt;/span&gt;そこから、「その間に」や「一方で」という意味になる。&lt;/span&gt;</t>
  </si>
  <si>
    <t>&lt;span class="w"&gt;&lt;b&gt;【631.in all likelihood：十中八九】&lt;/b&gt;&lt;/span&gt;
&lt;span class="ml"&gt;&lt;span class="explanation_tag"&gt;語源&lt;/span&gt;
likelyhoodは、likely（可能性が高い）と、-hood（〜の状態）が合さってできた語。
&lt;span class="spacer"&gt;&lt;/span&gt;［in all likelihood］は、likelihoodの可能性をallで強調し、かなり可能性が高い状態（all likelihood）の中にある（in）ことを示す。そこから、「十中八九」という意味になる。&lt;/span&gt;</t>
  </si>
  <si>
    <t>&lt;span class="w"&gt;&lt;b&gt;【632.at work：①職場で, 仕事中で, ②作用して, 作動中で】&lt;/b&gt;&lt;/span&gt;
&lt;span class="ml"&gt;&lt;span class="explanation_tag"&gt;イメージ&lt;/span&gt;
［at work］は、人や物が&lt;strong&gt;活動状態&lt;/strong&gt;であることをピンポイント（at）で表す。そこから、人が「職場で, 仕事中で」、目に見えない力が「作用して」、機械などが「作動中で」といった意味になる。&lt;/span&gt;</t>
  </si>
  <si>
    <t>&lt;span class="w"&gt;&lt;b&gt;【633.at risk：危険な状態で】&lt;/b&gt;&lt;/span&gt;
&lt;span class="ml"&gt;［at risk］は直訳の通り、リスクがある状態であることをピンポイント（at）で表して、「危険な状態で」という意味になる。&lt;/span&gt;</t>
  </si>
  <si>
    <t>&lt;span class="w"&gt;&lt;b&gt;【634.at a loss：途方に暮れて, 困って】&lt;/b&gt;&lt;/span&gt;
&lt;span class="ml"&gt;&lt;span class="explanation_tag"&gt;語源&lt;/span&gt;
lossは、古英語losにさかのぼるが、この頃の意味は残っていない。現在の「失うこと, 損失」という意味は、14世紀にloseの過去分詞lostと関連づけられて生まれたもの。
&lt;span class="spacer"&gt;&lt;/span&gt;［at a loss］は、1590年代に見られ、もともとは狩猟犬が獲物の臭跡を見失ってウロウロする状態（at）を表した。そこから人間にも使われるようになり、「途方に暮れて, 困って」という意味になった。&lt;/span&gt;</t>
  </si>
  <si>
    <t>&lt;span class="w"&gt;&lt;b&gt;【635.at first sight：一見したところでは, 一目で】&lt;/b&gt;&lt;/span&gt;
&lt;span class="ml"&gt;［at first sight］は直訳すると、最初の（first）見ること（sight）で（at）となる。そこから最初に見たということを表して、「一見したところでは, 一目で」という意味になる。&lt;/span&gt;</t>
  </si>
  <si>
    <t>&lt;span class="w"&gt;&lt;b&gt;【636.at heart：心の底では, 根は】&lt;/b&gt;&lt;/span&gt;
&lt;span class="ml"&gt;［at heart］は、ある人の見た目や状況による外見的な判断ではなく、心の奥底の一点（at）を表して、「心の底では, 根は」といった意味になる。&lt;/span&gt;</t>
  </si>
  <si>
    <t>&lt;span class="w"&gt;&lt;b&gt;【637.at intervals：ときどき, あちこちに】&lt;/b&gt;&lt;/span&gt;
&lt;span class="ml"&gt;&lt;span class="explanation_tag"&gt;語源&lt;/span&gt;
intervalは、ラテン語inter（〜の間に）と、vallum（杭柵, 城壁）が合さってできた語。もともとは、杭でできた柵や城壁の間の隙間を表した。そういった空間の隙間が、時間の隙間へと変化して、「時間の間隔, 合間, 小休止」などの意味となった。
&lt;span class="spacer"&gt;&lt;/span&gt;現代でも「空間的な間隔」という意味が残っているほか、音楽において音と音の高さの間隔から「音程」という意味でも使われる。
&lt;span class="spacer"&gt;&lt;/span&gt;&lt;span class="explanation_tag"&gt;イメージ&lt;/span&gt;
［at intervals］は、何かがある（⚫︎）&lt;span class="arrow"&gt;→&lt;/span&gt;ない（interval）&lt;span class="arrow"&gt;→&lt;/span&gt;ある（⚫︎）&lt;span class="arrow"&gt;→&lt;/span&gt;ない（interval） … というように複数のintervalと、何かがある点（⚫︎at）があることから、時間において「ときどき」、空間において「あちこち」という意味になる。
&lt;span class="spacer"&gt;&lt;/span&gt;日本語でインターバルと言うと時間的な間隔という意味が思い浮かぶが、語源で見た通り、空間の隙間という意味もある。&lt;/span&gt;</t>
  </si>
  <si>
    <t>&lt;span class="w"&gt;&lt;b&gt;【638.on (the / an) average：平均して】&lt;/b&gt;&lt;/span&gt;
&lt;span class="ml"&gt;&lt;span class="explanation_tag"&gt;語源&lt;/span&gt;
averageは、もともとは海上貿易で用いられた語。嵐などで遭難した船の安全を守るために、マストを切り落としたり、貨物を海中に捨てたり、その他の方法によって船上で財産の損失が生じた場合に、特定の個人に損失を負担させるのではなく、船や貨物に関わる人たち全員で損失を分担することを表した。
&lt;span class="spacer"&gt;&lt;/span&gt;そして、関係者による損失の均等な負担から、損失に関わらず、一般的に「平均」という意味へと発展していった。
&lt;span class="spacer"&gt;&lt;/span&gt;&lt;span class="explanation_tag"&gt;イメージ&lt;/span&gt;
［on (the / an) average］は直訳すると、平均（average）に基づいて（on）となる。そこから、「平均して」という意味になる。&lt;/span&gt;</t>
  </si>
  <si>
    <t>&lt;span class="w"&gt;&lt;b&gt;【639.on a ~ basis：〜の基準 / ベースで】&lt;/b&gt;&lt;/span&gt;
&lt;span class="ml"&gt;&lt;span class="explanation_tag"&gt;イメージ&lt;/span&gt;
［on a X basis］は直訳すると、Xという基準（a X basis）に乗っかって（on）となる。これは「Xの基準で, Xのベースで」という意味が核であり、Xに入る語によって日本語訳が変わる。
&lt;span class="spacer"&gt;&lt;/span&gt;&lt;span class="explanation_tag"&gt;例&lt;/span&gt;
on a daily basis
毎日
&lt;span class="spacer"&gt;&lt;/span&gt;on a regular basis
定期的に
&lt;span class="spacer"&gt;&lt;/span&gt;on a case-by-case basis
ケースバイケースで
&lt;span class="spacer"&gt;&lt;/span&gt;on the basis of his test scores
彼のテストの点するを基準として&lt;/span&gt;</t>
  </si>
  <si>
    <t>&lt;span class="w"&gt;&lt;b&gt;【640.on a ~ scale：〜の規模で】&lt;/b&gt;&lt;/span&gt;
&lt;span class="ml"&gt;&lt;span class="explanation_tag"&gt;イメージ&lt;/span&gt;
［on a X scale］は直訳の通り、「Xの規模で」という意味になり、Xに入る語によって日本語訳が変わる。
&lt;span class="spacer"&gt;&lt;/span&gt;&lt;span class="explanation_tag"&gt;例&lt;/span&gt;
on a large scale
大規模で
&lt;span class="spacer"&gt;&lt;/span&gt;on a small scale
小規模で
&lt;span class="spacer"&gt;&lt;/span&gt;on a national scale
全国規模で
&lt;span class="spacer"&gt;&lt;/span&gt;on a global scale
世界規模で&lt;/span&gt;</t>
  </si>
  <si>
    <t>&lt;span class="w"&gt;&lt;b&gt;【641.on display：陳列中で, 展示して】&lt;/b&gt;&lt;/span&gt;
&lt;span class="ml"&gt;&lt;span class="explanation_tag"&gt;イメージ&lt;/span&gt;
［on display］は直訳すると、ディスプレイされている状態で（on）となる。そこから「陳列中で, 展示して」といった意味になるが、要は&lt;strong&gt;見える形で示されている&lt;/strong&gt;ことを表しているに過ぎない。
&lt;span class="spacer"&gt;&lt;/span&gt;そのため物だけではなく、感情や能力が見える形で示されていることも表すことができる。&lt;/span&gt;</t>
  </si>
  <si>
    <t>&lt;span class="w"&gt;&lt;b&gt;【642.on the increase：増加中で】&lt;/b&gt;&lt;/span&gt;
&lt;span class="ml"&gt;［on the increase］は直訳すると、増加（the increase）の状態にある（on）となるので、「増加中で」という意味になる。&lt;/span&gt;</t>
  </si>
  <si>
    <t>&lt;span class="w"&gt;&lt;b&gt;【643.on (one's) guard：警戒して】&lt;/b&gt;&lt;/span&gt;
&lt;span class="ml"&gt;［on guard］は直訳すると、ガード（guard）の状態にある（on）となるので、「警戒して」という意味になる。&lt;/span&gt;</t>
  </si>
  <si>
    <t>&lt;span class="w"&gt;&lt;b&gt;【644.to ~ extent / degree：〜の程度に】&lt;/b&gt;&lt;/span&gt;
&lt;span class="ml"&gt;extentは、動詞extend（伸ばす, 延ばす）の名詞として考えればよい。
&lt;span class="spacer"&gt;&lt;/span&gt;&lt;span class="explanation_tag"&gt;extentの語源&lt;/span&gt;
extendは、ラテン語ex（外に）と、tendere（伸ばす）
が合さってできた語。外に伸ばすことから、何かを「伸ばす, 延ばす」という意味になった。
&lt;span class="spacer"&gt;&lt;/span&gt;extentは、どれくらい伸びて広がるかを表すことから、「程度」という意味になる。
&lt;span class="spacer"&gt;&lt;/span&gt;&lt;span class="explanation_tag"&gt;degreeの語源&lt;/span&gt;
degreeは、ラテン語de（下に）と、gradus（一歩）が合わさってできた語。一歩ずつ上り下りする段から「段階, 度合い, 程度」といった意味になる。
&lt;span class="spacer"&gt;&lt;/span&gt;&lt;span class="explanation_tag"&gt;イメージ&lt;/span&gt;
［to X extent / degree］は、toで範囲の広がりの到達点を示して、「Xの程度に」という意味になる。
&lt;span class="spacer"&gt;&lt;/span&gt;&lt;span class="explanation_tag"&gt;例&lt;/span&gt;
to some extent
ぼんやりある程度, いくぶん
&lt;span class="spacer"&gt;&lt;/span&gt;to a certain extent
（決まった）ある程度
&lt;span class="spacer"&gt;&lt;/span&gt;to &lt;strong&gt;what&lt;/strong&gt; extent
どの程度&lt;/span&gt;</t>
  </si>
  <si>
    <t>&lt;span class="w"&gt;&lt;b&gt;【645.to one's surprise：〜が驚いたことには】&lt;/b&gt;&lt;/span&gt;
&lt;span class="ml"&gt;&lt;span class="explanation_tag"&gt;イメージ&lt;/span&gt;
［to one's surprise］は、誰かの驚き（one's surprise）に達した（to）ことを表して、「〈人〉が驚いたことに」という意味になる。
&lt;span class="spacer"&gt;&lt;/span&gt;It was a surprise to〈人〉that S V（人が驚いたことに〜）だと考えればよい。&lt;/span&gt;</t>
  </si>
  <si>
    <t>&lt;span class="w"&gt;&lt;b&gt;【646.to the point：要点を押さえた, 的を射た】&lt;/b&gt;&lt;/span&gt;
&lt;span class="ml"&gt;&lt;span class="explanation_tag"&gt;イメージ&lt;/span&gt;
［to the point］は直訳すると、要点・核心（the point）に達している（to）ことを表して、「要点を押さえた, 的を射た」という意味になる。&lt;/span&gt;</t>
  </si>
  <si>
    <t>&lt;span class="w"&gt;&lt;b&gt;【647.to make matters / things worse：さらに悪いことに】&lt;/b&gt;&lt;/span&gt;
&lt;span class="ml"&gt;［to make matters / things worse］は直訳の通り、物事・事態（matters / things）をさらに悪く（worse）する（make）ことから、「さらに悪いことに」という意味になる。&lt;/span&gt;</t>
  </si>
  <si>
    <t>&lt;span class="w"&gt;&lt;b&gt;【648.to one's advantage：〜に有利に, 〜の利益になるように, 〜に都合の良い】&lt;/b&gt;&lt;/span&gt;
&lt;span class="ml"&gt;［to one's advantage］は直訳の通り、誰かのアドバンテージであることを表して、「〜に有利に, 〜の利益になるように, 〜に都合の良い」といった意味になる。&lt;/span&gt;</t>
  </si>
  <si>
    <t>&lt;span class="w"&gt;&lt;b&gt;【649.from ~ on / onward(s)：〜から以後は】&lt;/b&gt;&lt;/span&gt;
&lt;span class="ml"&gt;&lt;span class="explanation_tag"&gt;イメージ&lt;/span&gt;
［from A on / onward(s)］のonは「継続」、onward(s)は「前方へ続く」ことを表して、Aからずっと続く＝「Aから以後は」という意味になる。
&lt;span class="spacer"&gt;&lt;/span&gt;&lt;span class="explanation_tag"&gt;例&lt;/span&gt;
from now on
今後は
&lt;span class="spacer"&gt;&lt;/span&gt;from 2020 on
2020年以後は
&lt;span class="spacer"&gt;&lt;/span&gt;from April 1 on
4月1日以後は&lt;/span&gt;</t>
  </si>
  <si>
    <t>&lt;span class="w"&gt;&lt;b&gt;【650.from ~ point of view：〜の視点からは】&lt;/b&gt;&lt;/span&gt;
&lt;span class="ml"&gt;&lt;span class="explanation_tag"&gt;イメージ&lt;/span&gt;
［from A point of view］は直訳すると、Aの（A）眺めのポイント（point of view）から（from）となる。そこから「Aの視点からは」という意味になる。&lt;/span&gt;</t>
  </si>
  <si>
    <t>&lt;span class="w"&gt;&lt;b&gt;【651.for sure / certain：確かに】&lt;/b&gt;&lt;/span&gt;
&lt;span class="ml"&gt;&lt;span class="explanation_tag"&gt;certainの語源&lt;/span&gt;
certainは、ラテン語cernere（ふるいにかける）に由来する。ふるいにかけると、落ちていくものと残るものが完全に決定されることから、何かが確定していて疑いようがない＝「確信している, 確かな」という意味になる。
&lt;span class="spacer"&gt;&lt;/span&gt;&lt;span class="explanation_tag"&gt;イメージ&lt;/span&gt;
［for sure / certain］は直訳すると「確かなこととして」となる。確実であること、確かな状態であることを表して、「確かに」という意味になる。&lt;/span&gt;</t>
  </si>
  <si>
    <t>&lt;span class="w"&gt;&lt;b&gt;【652.under way：進行中で】&lt;/b&gt;&lt;/span&gt;
&lt;span class="ml"&gt;&lt;span class="explanation_tag"&gt;イメージ&lt;/span&gt;
［under way］は、進んで行く道のもとにあることを表して、「進行中で」という意味になる。&lt;/span&gt;</t>
  </si>
  <si>
    <t>&lt;span class="w"&gt;&lt;b&gt;【653.under construction：建設中で, 工事中で】&lt;/b&gt;&lt;/span&gt;
&lt;span class="ml"&gt;&lt;span class="explanation_tag"&gt;constructの語源&lt;/span&gt;
constructは、ラテン語com（共に）と、struere（積み上げる）が合わさってできた語。パーツを一緒にして積み上げるイメージから「建設する, 構成する」という意味になる。
&lt;span class="spacer"&gt;&lt;/span&gt;&lt;span class="explanation_tag"&gt;イメージ&lt;/span&gt;
［under construction］は、進んでいく建設作業のもとにあることを表して、「建設中で, 工事中で」という意味になる。&lt;/span&gt;</t>
  </si>
  <si>
    <t>&lt;span class="w"&gt;&lt;b&gt;【655.of one's own accord / free will：自分の意志で】&lt;/b&gt;&lt;/span&gt;
&lt;span class="ml"&gt;&lt;span class="explanation_tag"&gt;accordの語源&lt;/span&gt;
accordは、ラテン語ad（～へ）と、cor（心）が合わさってできた語。相手の心へ自分の心を合わせるイメージから「合意, 一致」、そして合意の末に結ばれる「協定」という意味になった。
&lt;span class="spacer"&gt;&lt;/span&gt;さらに自分の心を向けることは、その人自身が行うことから「意志」という意味にもなった。
&lt;span class="spacer"&gt;&lt;/span&gt;&lt;span class="explanation_tag"&gt;イメージ&lt;/span&gt;
［of one's own accord / free will］は、その人自身の（one's own）意志（accord）・自由意志（free will）から（of）何かを行うことを表して、「自分の意志で」という意味になる。
&lt;span class="spacer"&gt;&lt;/span&gt;&lt;span class="explanation_tag"&gt;補足&lt;/span&gt;
自由意志とは、他人から強制されたり、外部の力によって決められたりするのではなく、自分自身の判断や選択によって行動を決める能力・意志のこと。&lt;/span&gt;</t>
  </si>
  <si>
    <t>&lt;span class="w"&gt;&lt;b&gt;【656.without fail：必ず, 間違いなく】&lt;/b&gt;&lt;/span&gt;
&lt;span class="ml"&gt;&lt;span class="explanation_tag"&gt;イメージ&lt;/span&gt;
［without fail］は直訳すると、失敗（without）なしで（without）となる。何かをするときに絶対に失敗しないことから、「必ず, 間違いなく」といった意味になる。&lt;/span&gt;</t>
    <rPh sb="37" eb="38">
      <t>カナラ</t>
    </rPh>
    <rPh sb="41" eb="43">
      <t>マチガ</t>
    </rPh>
    <rPh sb="133" eb="135">
      <t>チョクヤク</t>
    </rPh>
    <rPh sb="139" eb="141">
      <t>シッパイ</t>
    </rPh>
    <rPh sb="166" eb="167">
      <t>ナニ</t>
    </rPh>
    <rPh sb="174" eb="176">
      <t>ゼッタイ</t>
    </rPh>
    <rPh sb="177" eb="179">
      <t>シッパイ</t>
    </rPh>
    <rPh sb="188" eb="189">
      <t>カナラ</t>
    </rPh>
    <rPh sb="192" eb="194">
      <t>マチガ</t>
    </rPh>
    <rPh sb="202" eb="204">
      <t>イミ</t>
    </rPh>
    <phoneticPr fontId="1"/>
  </si>
  <si>
    <t>&lt;span class="w"&gt;&lt;b&gt;【657.behind the times：時代遅れの】&lt;/b&gt;&lt;/span&gt;
&lt;span class="ml"&gt;&lt;span class="explanation_tag"&gt;語源&lt;/span&gt;
timeは、15世紀後期からthe timeという形で「政治・文化・経済などの状況と結びついたひとつの時代」を意味するようになった。
&lt;span class="spacer"&gt;&lt;/span&gt;例えば、いまで言えば「大恐慌時代」「激動の時代」「徳川の時代（江戸時代）」など、世の中の具体的な状況や人々の暮らしぶりとセットになった時間のまとまりを意味した。
&lt;span class="spacer"&gt;&lt;/span&gt;1590年代になると、ひとつの時代には様々な要素が含まれることを反映して、the timeから複数形のthe time&lt;strong&gt;s&lt;/strong&gt;になり、まさに人々がいま生きている「現代」を意味するようになった。
&lt;span class="spacer"&gt;&lt;/span&gt;&lt;span class="explanation_tag"&gt;イメージ&lt;/span&gt;
［behind the times］は、現代（the times）の後ろ（behind）にいることから、「時代遅れの」という意味になる。&lt;/span&gt;</t>
    <rPh sb="41" eb="44">
      <t>ジダイオク</t>
    </rPh>
    <rPh sb="124" eb="128">
      <t>セイキコウキ</t>
    </rPh>
    <rPh sb="141" eb="142">
      <t>カタチ</t>
    </rPh>
    <rPh sb="144" eb="146">
      <t>セイジ</t>
    </rPh>
    <rPh sb="150" eb="152">
      <t>ケイザイ</t>
    </rPh>
    <rPh sb="155" eb="157">
      <t>ジョウキョウ</t>
    </rPh>
    <rPh sb="158" eb="159">
      <t>ムス</t>
    </rPh>
    <rPh sb="167" eb="169">
      <t>ジダイ</t>
    </rPh>
    <rPh sb="171" eb="173">
      <t>イミ</t>
    </rPh>
    <rPh sb="211" eb="212">
      <t>タト</t>
    </rPh>
    <rPh sb="218" eb="219">
      <t>イ</t>
    </rPh>
    <rPh sb="222" eb="227">
      <t>ダイキョウコウジダイ</t>
    </rPh>
    <rPh sb="229" eb="231">
      <t>ゲキドウ</t>
    </rPh>
    <rPh sb="232" eb="234">
      <t>ジダイ</t>
    </rPh>
    <rPh sb="236" eb="238">
      <t>トクガワ</t>
    </rPh>
    <rPh sb="239" eb="241">
      <t>ジダイ</t>
    </rPh>
    <rPh sb="242" eb="246">
      <t>エドジダイ</t>
    </rPh>
    <rPh sb="286" eb="288">
      <t>イミ</t>
    </rPh>
    <rPh sb="324" eb="326">
      <t>ネンダイ</t>
    </rPh>
    <rPh sb="335" eb="337">
      <t>ジダイ</t>
    </rPh>
    <rPh sb="339" eb="341">
      <t>サマザマ</t>
    </rPh>
    <rPh sb="342" eb="344">
      <t>ヨウソ</t>
    </rPh>
    <rPh sb="345" eb="346">
      <t>フク</t>
    </rPh>
    <rPh sb="352" eb="354">
      <t>ハンエイ</t>
    </rPh>
    <rPh sb="367" eb="370">
      <t>フクスウケイ</t>
    </rPh>
    <rPh sb="404" eb="406">
      <t>ヒトビト</t>
    </rPh>
    <rPh sb="409" eb="410">
      <t>イ</t>
    </rPh>
    <rPh sb="415" eb="417">
      <t>ゲンダイ</t>
    </rPh>
    <rPh sb="419" eb="421">
      <t>イミ</t>
    </rPh>
    <rPh sb="521" eb="523">
      <t>ゲンダイ</t>
    </rPh>
    <rPh sb="535" eb="536">
      <t>ウシ</t>
    </rPh>
    <rPh sb="554" eb="557">
      <t>ジダイオク</t>
    </rPh>
    <rPh sb="563" eb="565">
      <t>イミ</t>
    </rPh>
    <phoneticPr fontId="1"/>
  </si>
  <si>
    <t>&lt;span class="w"&gt;&lt;b&gt;【658.beyond description：言葉では言い表せない】&lt;/b&gt;&lt;/span&gt;
&lt;span class="ml"&gt;descriptionは、動詞describe（描写する）の名詞として覚えればよい。
&lt;span class="explanation_tag"&gt;describeの語源&lt;/span&gt;
describeは、ラテン語de（下に）と、scribere（書く）が合わさってできた語。何かを下に書いておくことから、「記述する」という意味になる。さらに文字にして書くことに限らず、言葉にして「説明する, 表現する」という意味になる。
&lt;span class="spacer"&gt;&lt;/span&gt;&lt;span class="explanation_tag"&gt;イメージ&lt;/span&gt;
［beyond description］は、何かが言葉にすること（description）を超えている（beyond）ことから、「言葉では言い表せない」という意味になる。&lt;/span&gt;</t>
    <rPh sb="43" eb="45">
      <t>コトバ</t>
    </rPh>
    <rPh sb="47" eb="48">
      <t>イ</t>
    </rPh>
    <rPh sb="49" eb="50">
      <t>アラワ</t>
    </rPh>
    <rPh sb="96" eb="98">
      <t>ドウシ</t>
    </rPh>
    <rPh sb="107" eb="109">
      <t>ビョウシャ</t>
    </rPh>
    <rPh sb="113" eb="115">
      <t>メイシ</t>
    </rPh>
    <rPh sb="118" eb="119">
      <t>オボ</t>
    </rPh>
    <rPh sb="188" eb="189">
      <t>ゴ</t>
    </rPh>
    <rPh sb="210" eb="211">
      <t>ア</t>
    </rPh>
    <rPh sb="218" eb="219">
      <t>ゴ</t>
    </rPh>
    <rPh sb="386" eb="387">
      <t>ナニ</t>
    </rPh>
    <rPh sb="389" eb="391">
      <t>コトバ</t>
    </rPh>
    <rPh sb="410" eb="411">
      <t>コ</t>
    </rPh>
    <rPh sb="429" eb="431">
      <t>コトバ</t>
    </rPh>
    <rPh sb="433" eb="434">
      <t>イ</t>
    </rPh>
    <rPh sb="435" eb="436">
      <t>アラワ</t>
    </rPh>
    <rPh sb="443" eb="445">
      <t>イミ</t>
    </rPh>
    <phoneticPr fontId="1"/>
  </si>
  <si>
    <t>&lt;span class="w"&gt;&lt;b&gt;【659.out of breath：息切れして】&lt;/b&gt;&lt;/span&gt;
&lt;span class="ml"&gt;&lt;span class="explanation_tag"&gt;イメージ&lt;/span&gt;
outは、「外に」&lt;span class="arrow"&gt;→&lt;/span&gt;全て外に&lt;span class="arrow"&gt;→&lt;/span&gt;「完全に」&lt;span class="arrow"&gt;→&lt;/span&gt;何かが完全になくなって「尽きて」という意味を持つ。
&lt;span class="spacer"&gt;&lt;/span&gt;［out of breath］は、息（breath）が尽きた状態（out）を表して、「息切れして」という意味になる。&lt;/span&gt;</t>
    <rPh sb="38" eb="40">
      <t>イキギ</t>
    </rPh>
    <rPh sb="236" eb="238">
      <t>イミ</t>
    </rPh>
    <rPh sb="239" eb="240">
      <t>モ</t>
    </rPh>
    <rPh sb="288" eb="289">
      <t>イキ</t>
    </rPh>
    <rPh sb="298" eb="299">
      <t>ツ</t>
    </rPh>
    <rPh sb="301" eb="303">
      <t>ジョウタイ</t>
    </rPh>
    <rPh sb="309" eb="310">
      <t>アラワ</t>
    </rPh>
    <rPh sb="314" eb="316">
      <t>イキギ</t>
    </rPh>
    <rPh sb="323" eb="325">
      <t>イミ</t>
    </rPh>
    <phoneticPr fontId="1"/>
  </si>
  <si>
    <t>&lt;span class="w"&gt;&lt;b&gt;【660.out of character：性格に合わない, その人らしくない, 調和しない】&lt;/b&gt;&lt;/span&gt;
&lt;span class="ml"&gt;&lt;span class="explanation_tag"&gt;イメージ&lt;/span&gt;
［out of character］は直訳の通り、固有の特徴や性格（character）の外にいる（out of）ことから、「性格に合わない, その人らしくない, 調和しない」という意味になる。&lt;/span&gt;</t>
    <rPh sb="41" eb="43">
      <t>セイカク</t>
    </rPh>
    <rPh sb="44" eb="45">
      <t>ア</t>
    </rPh>
    <rPh sb="52" eb="53">
      <t>ヒト</t>
    </rPh>
    <rPh sb="60" eb="62">
      <t>チョウワ</t>
    </rPh>
    <rPh sb="156" eb="158">
      <t>チョクヤク</t>
    </rPh>
    <rPh sb="159" eb="160">
      <t>トオ</t>
    </rPh>
    <rPh sb="162" eb="164">
      <t>コユウ</t>
    </rPh>
    <rPh sb="165" eb="167">
      <t>トクチョウ</t>
    </rPh>
    <rPh sb="168" eb="170">
      <t>セイカク</t>
    </rPh>
    <rPh sb="182" eb="183">
      <t>ソト</t>
    </rPh>
    <rPh sb="228" eb="230">
      <t>イミ</t>
    </rPh>
    <phoneticPr fontId="1"/>
  </si>
  <si>
    <t>no matter how / what / when</t>
    <phoneticPr fontId="1"/>
  </si>
  <si>
    <t>&lt;span class="w"&gt;&lt;b&gt;【661.no matter how / what / when：どんなに / 何が / いつ～でも】&lt;/b&gt;&lt;/span&gt;
&lt;span class="ml"&gt;&lt;span class="explanation_tag"&gt;イメージ&lt;/span&gt;
［no matter］は直訳すると、「問題ではない」「重要ではない」となる。そこから、後ろに続く内容があったとしても問題ではない、関係ないということを表して、「どんなに / 何が / いつ～でも」といった意味になる。
&lt;span class="spacer"&gt;&lt;/span&gt;&lt;span class="explanation_tag"&gt;補足&lt;/span&gt;
［no matter 疑問詞］は次の形で言い換えることができる。
no matter how＝however
no matter what＝whatever
no matter when＝whenever
no matter where＝wherever
no matter who＝whoever
no matter which＝whichever&lt;/span&gt;</t>
    <rPh sb="59" eb="60">
      <t>ナニ</t>
    </rPh>
    <rPh sb="153" eb="155">
      <t>チョクヤク</t>
    </rPh>
    <rPh sb="160" eb="162">
      <t>モンダイ</t>
    </rPh>
    <rPh sb="168" eb="170">
      <t>ジュウヨウ</t>
    </rPh>
    <rPh sb="184" eb="185">
      <t>ウシ</t>
    </rPh>
    <rPh sb="187" eb="188">
      <t>ツヅ</t>
    </rPh>
    <rPh sb="189" eb="191">
      <t>ナイヨウ</t>
    </rPh>
    <rPh sb="199" eb="201">
      <t>モンダイ</t>
    </rPh>
    <rPh sb="206" eb="208">
      <t>カンケイ</t>
    </rPh>
    <rPh sb="216" eb="217">
      <t>アラワ</t>
    </rPh>
    <rPh sb="243" eb="245">
      <t>イミ</t>
    </rPh>
    <rPh sb="308" eb="310">
      <t>ホソク</t>
    </rPh>
    <rPh sb="334" eb="335">
      <t>ツギ</t>
    </rPh>
    <rPh sb="336" eb="337">
      <t>カタチ</t>
    </rPh>
    <rPh sb="338" eb="339">
      <t>イ</t>
    </rPh>
    <phoneticPr fontId="1"/>
  </si>
  <si>
    <t>&lt;span class="w"&gt;&lt;b&gt;【662.what we call ~：いわゆる～】&lt;/b&gt;&lt;/span&gt;
&lt;span class="ml"&gt;&lt;span class="explanation_tag"&gt;イメージ&lt;/span&gt;
［what we call A］は、直訳すると「世間一般がAと呼ぶもの
」となる。みんながAと呼んでいるので「いわゆるA」という訳になる。&lt;/span&gt;</t>
    <rPh sb="134" eb="136">
      <t>チョクヤク</t>
    </rPh>
    <rPh sb="140" eb="142">
      <t>セケン</t>
    </rPh>
    <rPh sb="142" eb="144">
      <t>イッパン</t>
    </rPh>
    <rPh sb="147" eb="148">
      <t>ヨ</t>
    </rPh>
    <rPh sb="163" eb="164">
      <t>ヨ</t>
    </rPh>
    <rPh sb="180" eb="181">
      <t>ヤク</t>
    </rPh>
    <phoneticPr fontId="1"/>
  </si>
  <si>
    <t>&lt;span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t>
  </si>
  <si>
    <t>&lt;span class="w"&gt;&lt;b&gt;【106.used to do / be：昔は〜したものだ, 昔は〜だった（今は違う）】&lt;/b&gt;&lt;/span&gt;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class="spacer"&gt;&lt;/span&gt;used to doは、1300年頃から使われている表現。
&lt;span class="spacer"&gt;&lt;/span&gt;&lt;span class="explanation_tag"&gt;イメージ&lt;/span&gt;
［used to］は、have toやneed toのように助動詞的に使われる。
［&lt;strong&gt;used to&lt;/strong&gt; do / be］は、過去に何かを習慣的に行っていた、過去に継続的にある状態であったことを表す。そこから「昔は〜したものだ, 昔は〜だった」という意味になる。
&lt;span class="spacer"&gt;&lt;/span&gt;過去に繰り返し行っていたことや、過去の状態に言及するだけなので「今はしていない」というニュアンスが含まれる。
&lt;span class="spacer"&gt;&lt;/span&gt;また否定文［didn't use to do］は、昔はしていなかった（けれど今はしている）ということを意味する。
&lt;span class="spacer"&gt;&lt;/span&gt;&lt;span class="explanation_tag"&gt;be used to doing / 名詞&lt;/span&gt;
［be used to doing］のusedも語源は同じで、繰り返し使うことから生まれた「慣れている」という意味。
［be used］は、何かに慣れている状態であるということを表す。そして［to doing / 名詞］で慣れている対象を示して「〜に慣れている」という状態を意味する。
&lt;span class="spacer"&gt;&lt;/span&gt;&lt;span class="explanation_tag"&gt;used to do / be used to doing&lt;/span&gt;
［助動詞：used to］
&lt;strong&gt;used to&lt;/strong&gt; do / be
習慣的にdo / be
&lt;span class="spacer"&gt;&lt;/span&gt;［形容詞：used］
&lt;strong&gt;be used&lt;/strong&gt; to doing
doingの習慣がある
&lt;span class="spacer"&gt;&lt;/span&gt;&lt;span class="explanation_tag"&gt;関連語&lt;/span&gt;
useと語源的に関連するusualは「いつも通りの」という繰り返されたことで生まれる習慣を表す。ここからuseに「習慣」を表す意味があったことがわかる。&lt;/span&gt;</t>
  </si>
  <si>
    <t>&lt;span class="w"&gt;&lt;b&gt;【523.take a chance / chances：思い切ってやってみる】&lt;/b&gt;&lt;/span&gt;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［take a chance / chances］は、どうなるかわからないものをつかむイメージから、「思い切ってやってみる」という意味になる。
&lt;span class="spacer"&gt;&lt;/span&gt;複数形chancesだと、習慣的・繰り返しということになる。&lt;/span&gt;</t>
  </si>
  <si>
    <t>&lt;span class="w"&gt;&lt;b&gt;【663.what S is：現在のS】&lt;/b&gt;&lt;/span&gt;
&lt;span class="ml"&gt;&lt;span class="explanation_tag"&gt;イメージ&lt;/span&gt;
［what S is］は直訳すると、Sがいま現在の存在・状態である（S be）もの（what）となる。これは、Sの現在の本質や性質全体を表しているので「現在のS」という訳になり、いま現在のSの全体を表現する。
&lt;span class="spacer"&gt;&lt;/span&gt;&lt;span class="explanation_tag"&gt;例&lt;/span&gt;
［what you like］
whatはlikeの目的語、つまり［you like X］のXがwhat（もの・こと）になっている。本来ならXにはlikeの具体的な対象が入るが、whatは特定の対象に限定せず、「あなたが好きなもの」という全体を漠然と表す。
言葉の機能から考えると、&lt;strong&gt;whatは変数Xのまま&lt;/strong&gt;であり、好きなものであれば何でも含まれて、「あなたの好きなもの」となる。
&lt;span class="spacer"&gt;&lt;/span&gt;You can buy the picture if you like it. であれば、likeの対象は「絵」に限定されている。
&lt;span class="spacer"&gt;&lt;/span&gt;You can buy what you like. なら、likeの対象は限定されず、好きなもの全体を表している。
&lt;span class="spacer"&gt;&lt;/span&gt;
&lt;span class="spacer"&gt;&lt;/span&gt;［what you are］
whatはareの補語、つまり［you are X］のXがwhat（もの・こと）になっている。本来ならXにはyouの状態や性質などが入るが、whatは特定の状態や性質に限定せず、「あなたのいまの状態・性質」という、いまのyouという存在全体を漠然と表す。
言葉の機能から考えると、&lt;strong&gt;whatは変数Xのまま&lt;/strong&gt;であり、youの状態・性質は全て含まれるので、youという存在全体を表す。
&lt;span class="spacer"&gt;&lt;/span&gt;I like him because he is kind. であれば、彼のkindという性質に限定されている。
&lt;span class="spacer"&gt;&lt;/span&gt;I like him for what he is. なら、彼の状態・性質は限定されず、いま現在の彼全体を表している。
&lt;span class="spacer"&gt;&lt;/span&gt;&lt;span class="explanation_tag"&gt;補足&lt;/span&gt;
［what S will be］なら「将来のS」
［what S was / were］なら「昔のS」
［what S used to be］なら「かつてのS（今は違う）」となる。&lt;/span&gt;</t>
  </si>
  <si>
    <t>&lt;span class="w"&gt;&lt;b&gt;【664.~ will do：〜は役に立つ, 〜でいい】&lt;/b&gt;&lt;/span&gt;
&lt;span class="ml"&gt;&lt;span class="explanation_tag"&gt;イメージ&lt;/span&gt;
［S will do］は、Sが期待されることや望まれる役割を実際に果たすということから、「Sは役立つ, Sでいい」という意味になる。&lt;/span&gt;</t>
  </si>
  <si>
    <t>&lt;span class="w"&gt;&lt;b&gt;【665.may well do：①おそらく〜するだろう, ②〜するのももっともだ】&lt;/b&gt;&lt;/span&gt;
&lt;span class="ml"&gt;&lt;span class="explanation_tag"&gt;イメージ&lt;/span&gt;
［may well V］のwellは、助動詞mayを強調しているだけ。mayには①かもしれない（可能性）、②してもよい（許可・容認）という意味があるので、それぞれ分けて考える。
&lt;span class="spacer"&gt;&lt;/span&gt;&lt;span class="explanation_tag"&gt;①可能性の強調&lt;/span&gt;
may（かもしれない）という弱めの推量をwellで強調すれば、「おそらく〜だろう」という意味になる。
&lt;span class="spacer"&gt;&lt;/span&gt;&lt;span class="explanation_tag"&gt;②許可・容認の強調&lt;/span&gt;
may（してもよい）という許可をwellで強調すれば、当然〜してもよい＝「〜するのももっともだ, 当然だ」という意味になる。&lt;/span&gt;</t>
  </si>
  <si>
    <t>&lt;span class="w"&gt;&lt;b&gt;【667.cannot V too (…)：いくら〜してもしすぎることはない】&lt;/b&gt;&lt;/span&gt;
&lt;span class="ml"&gt;&lt;span class="explanation_tag"&gt;イメージ&lt;/span&gt;
［cannot V too …］は直訳すると、「…すぎる」という過剰な状態までVすることはできない、となる。つまり、どれだけVしても、過剰にはなれないのだから、「いくら〜してもしすぎることはない」という意味になる。&lt;/span&gt;</t>
  </si>
  <si>
    <t>&lt;span class="w"&gt;&lt;b&gt;【668.the last 名詞 to do ~：最も〜しそうにない〈名詞〉】&lt;/b&gt;&lt;/span&gt;
&lt;span class="ml"&gt;&lt;span class="explanation_tag"&gt;イメージ&lt;/span&gt;
［the last 名詞 to do A］は直訳すると、「Aする最後の〈名詞〉」となる。つまり、Aする名詞を挙げていったら最後に思いつく〈名詞〉を表すことから、「最もAしそうにない〈名詞〉」という意味になる。&lt;/span&gt;</t>
  </si>
  <si>
    <t>&lt;span class="w"&gt;&lt;b&gt;【670.to tell (you) the truth：実を言うと】&lt;/b&gt;&lt;/span&gt;
&lt;span class="ml"&gt;［to tell (you) the truth］は直訳すると、「本当のことを言うと」となる。直訳通りに覚えてもよいし、「実を言うと」と覚えてもよい。&lt;/span&gt;</t>
  </si>
  <si>
    <t>&lt;span class="w"&gt;&lt;b&gt;【671.needless to say：言うまでもなく】&lt;/b&gt;&lt;/span&gt;
&lt;span class="ml"&gt;［needless to say］は直訳の通り、言う必要がない＝「言うまでもなく」という意味になる。&lt;/span&gt;</t>
  </si>
  <si>
    <t>&lt;span class="w"&gt;&lt;b&gt;【672.feel like doing / 名詞：〜したい気がする】&lt;/b&gt;&lt;/span&gt;
&lt;span class="ml"&gt;［feel like doing / 名詞］は直訳すると、何かをすること（doing）や〈名詞〉のような（like）気分がする（feel）となる。そこから「〜したい気がする」という意味になる。&lt;/span&gt;</t>
  </si>
  <si>
    <t>&lt;span class="w"&gt;&lt;b&gt;【673.be used to doing：〜するのに慣れている】&lt;/b&gt;&lt;/span&gt;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class="spacer"&gt;&lt;/span&gt;&lt;span class="explanation_tag"&gt;イメージ&lt;/span&gt;
［be used to doing］は、［be used］で慣れている状態であることを表し、［to doing］で慣れている対象を示す。そこから、「〜するのに慣れている」という意味になる。&lt;/span&gt;</t>
  </si>
  <si>
    <t>&lt;span class="w"&gt;&lt;b&gt;【674.cannot help doing：〜せずにはいられない】&lt;/b&gt;&lt;/span&gt;
&lt;span class="ml"&gt;&lt;span class="explanation_tag"&gt;イメージ&lt;/span&gt;
［cannnot help doing］のhelpは「避ける」という意味だとされるが、それをいちいち覚えるのではなく、次のようにイメージすればよい。
cannnot help (oneself from) doing
自分自身を〜することから助けることができない
&lt;span class="arrow"&gt;→&lt;/span&gt;「〜せずにはいられない」&lt;/span&gt;</t>
  </si>
  <si>
    <t>&lt;span class="w"&gt;&lt;b&gt;【675.come close / near to doing：もう少しで〜しそうになる】&lt;/b&gt;&lt;/span&gt;
&lt;span class="ml"&gt;&lt;span class="explanation_tag"&gt;イメージ&lt;/span&gt;
［come close / near to doing］は、直訳すると「doingの近くに来る」となる。完全にdoingのところまで達するのではなく、すぐ近くなので「もう少しで〜しそうになる」という意味になる。&lt;/span&gt;</t>
  </si>
  <si>
    <t>&lt;span class="w"&gt;&lt;b&gt;【676.with a view to doing：〜する目的で】&lt;/b&gt;&lt;/span&gt;
&lt;span class="ml"&gt;&lt;span class="explanation_tag"&gt;イメージ&lt;/span&gt;
［with a view to doing］は直訳すると、何かをすることへの（to doing）視野を持って（with a view）となる。doingを視野に入れて何かをすることから、「〜する目的で」という意味になる。&lt;/span&gt;</t>
  </si>
  <si>
    <t>&lt;span class="w"&gt;&lt;b&gt;【677.joking / kidding aside：冗談はさておき】&lt;/b&gt;&lt;/span&gt;
&lt;span class="ml"&gt;&lt;span class="explanation_tag"&gt;イメージ&lt;/span&gt;
［joking / kidding aside］は直訳の通り、冗談（joking / kidding）を脇に置いておくことから、「冗談はさておき」という意味になる。
&lt;span class="spacer"&gt;&lt;/span&gt;kidding（動詞kid）は、おそらく子どものように扱うことから、「冗談を言う」という意味になった。&lt;/span&gt;</t>
  </si>
  <si>
    <t>&lt;span class="w"&gt;&lt;b&gt;【678.catch ~ doing：〜が…しているところを見つける】&lt;/b&gt;&lt;/span&gt;
&lt;span class="ml"&gt;&lt;span class="explanation_tag"&gt;イメージ&lt;/span&gt;
［catch A doing］は直訳の通り、「Aが〜しているところを見つける」という意味になる。&lt;/span&gt;</t>
  </si>
  <si>
    <t>&lt;span class="w"&gt;&lt;b&gt;【679.speaking / talking of ~：〜と言えば】&lt;/b&gt;&lt;/span&gt;
&lt;span class="ml"&gt;［speaking / talking of A］は、of（〜について）で話題を直接示して、「Aと言えば」という意味になる。&lt;/span&gt;</t>
  </si>
  <si>
    <t>&lt;span class="w"&gt;&lt;b&gt;【680.judging from / by ~：〜から判断すると】&lt;/b&gt;&lt;/span&gt;
&lt;span class="ml"&gt;&lt;span class="explanation_tag"&gt;イメージ&lt;/span&gt;
［judging from / by A］は直訳の通り、「Aから / Aによって判断すると」という意味になる。&lt;/span&gt;</t>
  </si>
  <si>
    <t>&lt;span class="w"&gt;&lt;b&gt;【682.in itself：それ自体では】&lt;/b&gt;&lt;/span&gt;
&lt;span class="ml"&gt;&lt;span class="explanation_tag"&gt;イメージ&lt;/span&gt;
［in itself］は、itが指す対象の周囲にあるものではなく、対象自体の中身に目を向けるイメージ。そこから、他との関係ではなく「それ自体では」という意味になる。&lt;/span&gt;</t>
  </si>
  <si>
    <t>&lt;span class="w"&gt;&lt;b&gt;【683.to oneself：①自分だけに, ②自分自身に対して】&lt;/b&gt;&lt;/span&gt;
&lt;span class="ml"&gt;&lt;span class="explanation_tag"&gt;イメージ&lt;/span&gt;
［to oneself］は、空間や物を自分自身に向けるなら、①「自分だけに」という占有の意味になる。
&lt;span class="spacer"&gt;&lt;/span&gt;言葉などを自分自身に向けるなら、②「自分自身に対して」という意味になる。&lt;/span&gt;</t>
  </si>
  <si>
    <t>&lt;span class="w"&gt;&lt;b&gt;【685.none other than ~：ほかならぬ〜, まさしく〜】&lt;/b&gt;&lt;/span&gt;
&lt;span class="ml"&gt;&lt;span class="explanation_tag"&gt;イメージ&lt;/span&gt;
［none other than A］は直訳すると、Aと比べて（than A）他の（other）何ものでもない（none）となる。A以外の何ものでもないことを表すので、「ほかならぬA, まさしくA」という意味になる。&lt;/span&gt;</t>
  </si>
  <si>
    <t>&lt;span class="w"&gt;&lt;b&gt;【689.as ~ as any：誰・どれにも劣らず〜】&lt;/b&gt;&lt;/span&gt;
&lt;span class="ml"&gt;&lt;span class="explanation_tag"&gt;イメージ&lt;/span&gt;
anyは「any＞0」という0より大きく無限までいくイメージで覚える。［as ~ as any］は比較対象がanyなので、Aと比べても、Bと比べても、Cと比べても …というように無限に比較していくイメージ。そこから誰と比べても、何と比べても同等であることを表して、「誰・どれにも劣らず〜」という意味になる。&lt;/span&gt;</t>
  </si>
  <si>
    <t>&lt;span class="w"&gt;&lt;b&gt;【690.all the 比較級：ますます〜, それだけいっそう〜】&lt;/b&gt;&lt;/span&gt;
&lt;span class="ml"&gt;&lt;span class="explanation_tag"&gt;イメージ&lt;/span&gt;
［all the 比較級］のallは程度を強調する働きをし、theは「その分だけ」を意味する副詞。何かがあって、その分だけ（the）さらに（all）〈比較級〉になることから、「ますます〜, それだけいっそう〜」という意味になる。
&lt;span class="spacer"&gt;&lt;/span&gt;通常は、文脈やifなどで前提を示したり、for / becauseで理由を提示したりして、どの分だけ〈比較級〉の程度が増すかを示す。
&lt;span class="spacer"&gt;&lt;/span&gt;&lt;span class="explanation_tag"&gt;例&lt;/span&gt;
The room looked all the larger.
これだと何の分だけより広いのかがわからない。
&lt;span class="spacer"&gt;&lt;/span&gt;The room looked all the larger because it was empty.
これなら「部屋が空だからその分いっそう広い」とい理解できる。&lt;/span&gt;</t>
  </si>
  <si>
    <t>&lt;span class="w"&gt;&lt;b&gt;【691.that much 比較級：それだけいっそう〜】&lt;/b&gt;&lt;/span&gt;
&lt;span class="ml"&gt;&lt;span class="explanation_tag"&gt;イメージ&lt;/span&gt;
［that much 比較級］は、［all the 比較級］と構造も意味も同じ。
all（強調）the（その分だけ）比較級
that（それだけ）much（強調）比較級
&lt;span class="spacer"&gt;&lt;/span&gt;前提や理由が何かあって、それによって「それだけいっそう〜」という意味になる。&lt;/span&gt;</t>
  </si>
  <si>
    <t>&lt;span class="w"&gt;&lt;b&gt;【692.much / still less ~：まして〜はいっそうない】&lt;/b&gt;&lt;/span&gt;
&lt;span class="ml"&gt;&lt;span class="explanation_tag"&gt;イメージ&lt;/span&gt;
［much / still less A］のmuch / stillは、比較級lessの程度を強調しているだけ。前に書かれた否定的な内容を受けて、Aはさらに（much / still）可能性が少ない（less）と述べることから、「ましてAはいっそうない」という意味になる。&lt;/span&gt;</t>
  </si>
  <si>
    <t>&lt;span class="w"&gt;&lt;b&gt;【694.know better (than to do)：〜するほど馬鹿ではない, 〜しないだけの分別がある】&lt;/b&gt;&lt;/span&gt;
&lt;span class="ml"&gt;&lt;span class="explanation_tag"&gt;イメージ&lt;/span&gt;
［know better (than to do)］は直訳すると、〜することよりも（than to do）より良いこと（better）を知っている（know）となる。
&lt;span class="spacer"&gt;&lt;/span&gt;つまり、to doをするほど愚かではない、to doをしないくらいの物事の分別はあるということを表して、「〜するほど馬鹿ではない, 〜しないだけの分別がある」という意味になる。&lt;/span&gt;</t>
  </si>
  <si>
    <t>&lt;span class="w"&gt;&lt;b&gt;【697.to the best of one's knowledge：（人）の知る限り】&lt;/b&gt;&lt;/span&gt;
&lt;span class="ml"&gt;&lt;span class="explanation_tag"&gt;イメージ&lt;/span&gt;
［to the best of one's knowledge］は直訳すると、人の知識（one's knowledge）のベストまで（to the best of）となる。
&lt;span class="spacer"&gt;&lt;/span&gt;これは、ある人の知識の範囲の最大限まで考慮することを表して、「（人）の知る限り」という意味になる。
&lt;/span&gt;</t>
  </si>
  <si>
    <t>&lt;span class="w"&gt;&lt;b&gt;【698.not ~ (in) the least：まったく〜ない, 少しも〜ない】&lt;/b&gt;&lt;/span&gt;
&lt;span class="ml"&gt;&lt;span class="explanation_tag"&gt;イメージ&lt;/span&gt;
［not ~ (in) the least］は直訳すると、「最も少ない部分においても〜ない」となる。つまり、日本語で言えば「1ミリもない」という表現と同じで、「まったく〜ない, 少しも〜ない」という意味になる。&lt;/span&gt;</t>
  </si>
  <si>
    <t>&lt;span class="w"&gt;&lt;b&gt;【699.to the full / fullest：心ゆくまで, 十分に, 最大まで】&lt;/b&gt;&lt;/span&gt;
&lt;span class="ml"&gt;&lt;span class="explanation_tag"&gt;イメージ&lt;/span&gt;
［to the full / fullest］は直訳の通り、「フル・満タン・いっぱいまで」＝「心ゆくまで, 十分に, 最大まで」といった意味になる。&lt;/span&gt;</t>
  </si>
  <si>
    <t>&lt;span class="w"&gt;&lt;b&gt;【700.by far：はるかに（比較級・最上級の強調表現）】&lt;/b&gt;&lt;/span&gt;
&lt;span class="ml"&gt;&lt;span class="explanation_tag"&gt;イメージ&lt;/span&gt;
［by far］は、byで他との「差」があること示し、farでその差が「遠い」ことを表す。つまり、他と比べたときに圧倒的な差があることを表して、「はるかに」という強調の表現になる。
&lt;span class="spacer"&gt;&lt;/span&gt;&lt;span class="explanation_tag"&gt;差を表すbyの例&lt;/span&gt;
We won the game by 2 points.
私たちは2点差で勝った
&lt;span class="spacer"&gt;&lt;/span&gt;The price increased by 10%.
価格が10%上がった&lt;/span&gt;</t>
  </si>
  <si>
    <t>&lt;span class="w"&gt;&lt;b&gt;【701.provided (that) S V ~：もし〜ならば】&lt;/b&gt;&lt;/span&gt;
&lt;span class="ml"&gt;&lt;span class="explanation_tag"&gt;provideの語源&lt;/span&gt;
provideは、ラテン語pro（前に）と、videre（見る）が合わさってできた語。&lt;strong&gt;先を見越してあらかじめ与える&lt;/strong&gt;ことから、必要なものを「供給する」という意味になった。
&lt;span class="spacer"&gt;&lt;/span&gt;15世紀初頭には、過去分詞providedが「〜という条件で」という接続詞として用いられている。
&lt;span class="spacer"&gt;&lt;/span&gt;&lt;span class="explanation_tag"&gt;イメージ&lt;/span&gt;
［provided (that) S V ~］は分詞構文で、［that S V］が&lt;strong&gt;あらかじめ前提として与えられている&lt;/strong&gt;、と考えればよい。そこから「もしS V ~ならば」という条件を表す接続詞になる。&lt;/span&gt;</t>
  </si>
  <si>
    <t>&lt;span class="w"&gt;&lt;b&gt;【703.the moment / minute S V ~：SがVするとすぐに】&lt;/b&gt;&lt;/span&gt;
&lt;span class="ml"&gt;&lt;span class="explanation_tag"&gt;minuteの語源&lt;/span&gt;
minuteは、ラテン語minuere（小さくする）の過去分詞minutus（小さい, 微細な）に由来する。
&lt;span class="spacer"&gt;&lt;/span&gt;中世ラテン語では、数学者Ptolemyが、円の60分の1を表すためにpars &lt;strong&gt;minuta&lt;/strong&gt; prima（第一の小さい部分）という語を用いた。その後、この語は1時間の60分の1も意味するようになり、時間の単位の「分」として使われるようになった。&lt;span class="obsolete"&gt;その次の単位はsecunda minutaであり、これが後にsecond（秒）となった。&lt;/span&gt;
&lt;span class="spacer"&gt;&lt;/span&gt;minuteは「分」だけではなく、もとになったラテン語の「微細な」という意味の通り、「短い時間, 瞬間」という意味も持っている。
&lt;span class="spacer"&gt;&lt;/span&gt;&lt;span class="explanation_tag"&gt;momentの語源&lt;/span&gt;
momentは、ラテン語movere（動かす）に由来する。一部の学者は、天秤の針をわずかに動かすほどのごく小さい粒子という概念を経て、ごく小さな時間の区分＝「瞬間」という意味になったと考えている。
&lt;span class="spacer"&gt;&lt;/span&gt;&lt;span class="explanation_tag"&gt;イメージ&lt;/span&gt;
［the moment / minute S V ~］は、timeの後に関係副詞whenが省略されており、［S V ~］がthe moment / minute（瞬間）を修飾すると考えればよい。
&lt;span class="spacer"&gt;&lt;/span&gt;moment / minuteはどちらも「短い時間, 瞬間」を意味する。SがVする瞬間に別のことが起こるので、「SがVするとすぐに」という接続詞的な表現になる。&lt;/span&gt;</t>
  </si>
  <si>
    <t>&lt;span class="w"&gt;&lt;b&gt;【704.when it comes to ~：〜のこととなると】&lt;/b&gt;&lt;/span&gt;
&lt;span class="ml"&gt;&lt;span class="explanation_tag"&gt;イメージ&lt;/span&gt;
［when it comes to A］のitは、具体的な名詞を指すわけではなく、話題全体を指す形式主語だと考えればよい。つまり、話題がAに達すると＝「Aのこととなると」という意味になる。&lt;/span&gt;</t>
  </si>
  <si>
    <t>&lt;span class="w"&gt;&lt;b&gt;【705.as it is：①実際のところは, ②（事物が）あるがままの】&lt;/b&gt;&lt;/span&gt;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it is］は、it isに一致させるイメージ。このitは、特定の何かを指すわけではなく、全体の状況や状態を表す。この場合は、be動詞が現在形なので、いま現在の状況や状態を表す。
&lt;span class="spacer"&gt;&lt;/span&gt;①ある前提や仮定の後に［as it is］が置かれれば、前提や仮定の話から、いま現在の状況や状態（it is）に話を一致させる（as）ので、「実際のところは」という意味になる。
&lt;span class="spacer"&gt;&lt;/span&gt;②事物について［as it is］が使われれば、いま現在の状態に一致させることから、「ありのままの」という意味になる。
&lt;span class="spacer"&gt;&lt;/span&gt;&lt;span class="explanation_tag"&gt;①の例&lt;/span&gt;
I hoped things would get better, but as it is, they are getting worse.
事態が良くなることを望んでいた
（前提）
↓
実際のところは
（it is＝現実の状況へ話を一致させる）
↓
悪化している
&lt;span class="spacer"&gt;&lt;/span&gt;&lt;span class="explanation_tag"&gt;②の例&lt;/span&gt;
Leave the room as it is.
部屋をいま現在の状態（it is）に一致させて（as）残しておく&lt;/span&gt;</t>
  </si>
  <si>
    <t>&lt;span class="w"&gt;&lt;b&gt;【707.as follows：次のとおり】&lt;/b&gt;&lt;/span&gt;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follows］は、後に従う（フォローする）ものと一致（as）というイメージから、「次のとおり」という意味になる。&lt;/span&gt;</t>
  </si>
  <si>
    <t>&lt;span class="w"&gt;&lt;b&gt;【708.as is often the case (with ~) ：〜にはよくあることだが】&lt;/b&gt;&lt;/span&gt;
&lt;span class="ml"&gt;&lt;span class="spacer"&gt;&lt;/span&gt;&lt;span class="explanation_tag"&gt;イメージ&lt;/span&gt;
［as is often the case (with A)］のasは関係代名詞であり、文のメインとなる部分全体を指す。直訳すると、Aに関して（with A）そのことは（as）よく（often）起こる出来事（the case）となり、そこから「Aにはよくあることだが」という意味になる。
&lt;span class="spacer"&gt;&lt;/span&gt;&lt;span class="explanation_tag"&gt;例&lt;/span&gt;
&lt;strong&gt;As&lt;/strong&gt; is often the case with him, &lt;strong&gt;he was late again&lt;/strong&gt;.
&lt;span class="spacer"&gt;&lt;/span&gt;最初の関係代名詞asは、この文のメインとなるhe was late againを受けている。細かく日本語訳すると、「彼が遅れるというのはよくあることだが、彼はまた遅れた」となる。&lt;/span&gt;</t>
  </si>
  <si>
    <t>&lt;span class="w"&gt;&lt;b&gt;【709.as〈複数名詞 / 不可算名詞〉go：一般の〜としては, 〜にしては】&lt;/b&gt;&lt;/span&gt;
&lt;span class="ml"&gt;&lt;span class="explanation_tag"&gt;イメージ&lt;/span&gt;
［as〈複数名詞 / 不可算名詞〉go］のgoは物理的な移動ではなく、〈名詞〉のイメージが世間一般を通過するニュアンス。そこから、一般的に受け取られている〈名詞〉としては（as）となり、「一般の〜としては, 〜にしては」という世間的なイメージとの対比表現になる。
&lt;span class="spacer"&gt;&lt;/span&gt;&lt;span class="explanation_tag"&gt;例&lt;/span&gt;
As politicians go, he is honest.
一般的に通っている政治家のイメージとしては、彼は正直だ
＝政治家にしては、彼は正直だ&lt;/span&gt;</t>
  </si>
  <si>
    <t>&lt;span class="w"&gt;&lt;b&gt;【710.if only S V ~：①〜でありさえすれば, ②〜でさえあればなあ】&lt;/b&gt;&lt;/span&gt;
&lt;span class="ml"&gt;&lt;span class="explanation_tag"&gt;イメージ&lt;/span&gt;
［if only S V 〜］は、ifという語による条件設定の範囲を、only（〜だけ）が強調している。
&lt;span class="spacer"&gt;&lt;/span&gt;①if onlyの後が直説法（現実と時制が一致）なら、もしも〜という条件さえ満たせば＝「〜でありさえすれば」という条件ifの限定になる。
&lt;span class="spacer"&gt;&lt;/span&gt;②if onlyの後が仮定法なら、もしも〜だけでも現実になれば＝「〜でありさえすればなあ」という限定的な願望になる。&lt;/span&gt;</t>
  </si>
  <si>
    <t>&lt;span class="w"&gt;&lt;b&gt;【712.(in) the way S V ~：SがVする方法において】&lt;/b&gt;&lt;/span&gt;
&lt;span class="ml"&gt;&lt;span class="explanation_tag"&gt;イメージ&lt;/span&gt;
［(in) the way S V ~］は、the wayの後に関係詞が省略されている。［S V ~］がthe way（方法）を修飾して、「SがVする方法において」という意味になる。&lt;/span&gt;</t>
  </si>
  <si>
    <t>&lt;span class="w"&gt;&lt;b&gt;【714.with ease：簡単に】&lt;/b&gt;&lt;/span&gt;
&lt;span class="ml"&gt;&lt;span class="explanation_tag"&gt;イメージ&lt;/span&gt;
［with ease］のように、［with＋抽象名詞］は副詞の働きをする。そこから「簡単に」という意味になる。
&lt;span class="spacer"&gt;&lt;/span&gt;簡単さ（ease）を持って（with）何かをすることから、「簡単に」何かをするとイメージすればよい。
&lt;span class="spacer"&gt;&lt;/span&gt;&lt;span class="explanation_tag"&gt;例&lt;/span&gt;
with confidence
自信を持って
&lt;span class="spacer"&gt;&lt;/span&gt;with care
注意深く
&lt;span class="spacer"&gt;&lt;/span&gt;with difficulty
苦労して&lt;/span&gt;</t>
  </si>
  <si>
    <t>&lt;span class="w"&gt;&lt;b&gt;【715.believe it or not：まさかと思うような話だが】&lt;/b&gt;&lt;/span&gt;
&lt;span class="ml"&gt;&lt;span class="explanation_tag"&gt;イメージ&lt;/span&gt;
［believe it or not］は、直訳すると「信じようと信じまいと」となる。つまり、今から言うことに対して相手が信じられない可能性があるが、話し手にとっては事実であることを表して、「まさかと思うような話だが」「信じられないかもしれないが」「意外だが」のようなニュアンスになる。
&lt;span class="spacer"&gt;&lt;/span&gt;この表現は特に、熟語帳通りの日本語で覚える必要はない。&lt;/span&gt;</t>
  </si>
  <si>
    <t>&lt;span class="w"&gt;&lt;b&gt;【716.not all that ~：それほど〜ではない】&lt;/b&gt;&lt;/span&gt;
&lt;span class="ml"&gt;&lt;span class="explanation_tag"&gt;イメージ&lt;/span&gt;
［not all that ~］のallは「強調」で、thatは副詞「それほど」という意味。これが合わさって「それほど〜ではない」という意味になる。
&lt;span class="spacer"&gt;&lt;/span&gt;&lt;span class="explanation_tag"&gt;例&lt;/span&gt;
It's not &lt;strong&gt;that&lt;/strong&gt; cold.
それほど寒くない
&lt;span class="spacer"&gt;&lt;/span&gt;It's not &lt;strong&gt;all that&lt;/strong&gt; cold.
（騒ぐような）それほど寒くない&lt;/span&gt;</t>
  </si>
  <si>
    <t>&lt;span class="w"&gt;&lt;b&gt;【717.the 比較級 ~ , the 比較級 …：〜であればあるほど、いっそう…】&lt;/b&gt;&lt;/span&gt;
&lt;span class="ml"&gt;&lt;span class="explanation_tag"&gt;イメージ&lt;/span&gt;
［the 比較級 ~ , the 比較級 …］は、前のtheが「どれだけ」という意味で、後ろのtheが「その分だけ」という意味。
&lt;span class="spacer"&gt;&lt;/span&gt;「〜」部分の比較級が&lt;strong&gt;どれだけ&lt;/strong&gt;の程度になるかによって、&lt;strong&gt;その分だけ&lt;/strong&gt;「…」になる、という呼応関係にある。
&lt;span class="spacer"&gt;&lt;/span&gt;例えば、「〜」部分が10段階の5なら、それに応じて「…」は5になる。「〜」部分が8なら、「…」もさらに上がって8になる、というイメージ。
&lt;span class="spacer"&gt;&lt;/span&gt;そこから「〜すればするほど、いっそう…」という意味になる。&lt;/span&gt;</t>
  </si>
  <si>
    <t>&lt;span class="w"&gt;&lt;b&gt;【718.(Just) As ~ , so …：（ちょうど）〜であるように、…だ】&lt;/b&gt;&lt;/span&gt;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［(Just) As ~ , so …］はasの語源的イメージをもとに考えると、「〜であるのと一致して（as）、Bもそのように…だ（so）」となる。これをきれいな日本語にすると、「〜であるように…だ」となる。
&lt;span class="spacer"&gt;&lt;/span&gt;justは「ちょうど〜であるように」と、asを強調する働きをする。&lt;/span&gt;</t>
  </si>
  <si>
    <t>&lt;span class="w"&gt;&lt;b&gt;【719.(It is) No wonder (that) S V ~：〜なのは不思議がない, 〜なのは当然だ】&lt;/b&gt;&lt;/span&gt;
&lt;span class="ml"&gt;&lt;span class="explanation_tag"&gt;イメージ&lt;/span&gt;
［(It is) No wonder (that) S V ~］は、意味上の主語［that S V ~］に対してno wonder（不思議がゼロ）なので、「不思議はない, 当然だ」という意味になる。&lt;/span&gt;</t>
  </si>
  <si>
    <t>&lt;span class="w"&gt;&lt;b&gt;【720.It happens that S V ~：たまたま〜だ】&lt;/b&gt;&lt;/span&gt;
&lt;span class="ml"&gt;&lt;span class="explanation_tag"&gt;語源&lt;/span&gt;
happenは、古ノルド語happ（偶然）に由来する。そこから予期しないことが偶然起こる、単純に何かが起こるという意味になった。
&lt;span class="spacer"&gt;&lt;/span&gt;&lt;span class="explanation_tag"&gt;イメージ&lt;/span&gt;
［It happens that S V ~］は、happenの語源の通り「偶然」というニュアンスを含み、「たまたま〜だ」という意味になる。&lt;/span&gt;</t>
  </si>
  <si>
    <t>&lt;span class="w"&gt;&lt;b&gt;【721.(The) Chances are (that) ~：おそらく〜だろう】&lt;/b&gt;&lt;/span&gt;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［(The) Chances are (that) ~］は語源的に考えると、「〜である見込みだ」となり、そうなる見込みが高いことを表す。そのため「おそらく〜だろう」という訳になる。
&lt;span class="spacer"&gt;&lt;/span&gt;&lt;span class="explanation_tag"&gt;補足&lt;/span&gt;
chancesという複数形は、古くからある慣用的な表現。&lt;/span&gt;</t>
  </si>
  <si>
    <t>&lt;span class="w"&gt;&lt;b&gt;【722.There is no doing ~：〜することはできない】&lt;/b&gt;&lt;/span&gt;
&lt;span class="ml"&gt;&lt;span class="explanation_tag"&gt;イメージ&lt;/span&gt;
［There is no doing ~］は直訳すると、ゼロの「何かをすること（no doing 〜）」が存在する（there is）となる。つまり「〜する余地」が一切存在しないので、「〜できない」という意味になる。&lt;/span&gt;</t>
  </si>
  <si>
    <t>&lt;span class="w"&gt;&lt;b&gt;【723.not so much A as B：AというよりむしろB】&lt;/b&gt;&lt;/span&gt;
&lt;span class="ml"&gt;&lt;span class="explanation_tag"&gt;イメージ&lt;/span&gt;
［not so much A as B］は、主語に関するただの同等比較。
&lt;span class="spacer"&gt;&lt;/span&gt;
中学で習う同等比較は、異なる主語同士を比べる。
A is &lt;strong&gt;not so&lt;/strong&gt; ~ &lt;strong&gt;as&lt;/strong&gt; B.
主語Aは、主語Bほど〜ない
&lt;span class="spacer"&gt;&lt;/span&gt;［not so much A as B］は、&lt;strong&gt;同一の主語に関する&lt;/strong&gt;性質や状態などの&lt;strong&gt;程度&lt;/strong&gt;を比較する。
S … &lt;strong&gt;not so much&lt;/strong&gt; A &lt;strong&gt;as&lt;/strong&gt; B.
主語Sは、BほどAの程度（much）がない
＝SはAの程度よりBの方が上
＝Sは「AというよりもむしろB」という意味になる。&lt;/span&gt;</t>
  </si>
  <si>
    <t>&lt;span class="w"&gt;&lt;b&gt;【725.never do … without ~：〜なしで…することはない, …すれば必ず〜する】&lt;/b&gt;&lt;/span&gt;
&lt;span class="ml"&gt;&lt;span class="explanation_tag"&gt;イメージ&lt;/span&gt;
［never do … without ~］は直訳の「〜なしで…することはない」で覚えればよい。この直訳の見方を変えれば、「…する」には常に「〜」がくっついてくるので、「…すれば必ず〜する」という訳にもなる。&lt;/span&gt;</t>
  </si>
  <si>
    <t>&lt;span class="w"&gt;&lt;b&gt;【726.It goes without saying that S V ~：〜は言うまでもない】&lt;/b&gt;&lt;/span&gt;
&lt;span class="ml"&gt;&lt;span class="explanation_tag"&gt;イメージ&lt;/span&gt;
［It goes without saying that S V ~］のitは形式主語で、意味上の主語は［that S V ~］部分。
&lt;span class="spacer"&gt;&lt;/span&gt;つまり意味は［That S V ~ goes without saying.］で考えればよい。直訳すると「〜ということは、言わなくても、そのまま話が通っていく」となる。ということは、「〜なのは言うまでもない」という意味になる。&lt;/span&gt;</t>
  </si>
  <si>
    <t>&lt;span class="w"&gt;&lt;b&gt;【728.It is not long before ~：〜するのに長くはかからない, まもなく〜する】&lt;/b&gt;&lt;/span&gt;
&lt;span class="ml"&gt;&lt;span class="explanation_tag"&gt;イメージ&lt;/span&gt;
［It is not long before ~］は直訳の通り、「〜する前に（時間が）長くはならない」という意味なので、きれいに日本語にすると「まもなく〜する」となる。&lt;/span&gt;</t>
  </si>
  <si>
    <t>&lt;span class="w"&gt;&lt;b&gt;【612.bother：〜を悩ます, 〜に面倒をかける】&lt;/b&gt;&lt;/span&gt;
&lt;span class="ml"&gt;語源不明の語だが、アイルランド語bodhairim（私は耳を聞こえなくする,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 面倒をかける」へと発展したと考えられる。&lt;/span&gt;</t>
  </si>
  <si>
    <t>&lt;span class="w"&gt;&lt;b&gt;【733.A is to B what C is to D .：AのBに対する関係は、CのDに対する関係と同じだ】&lt;/b&gt;&lt;/span&gt;
&lt;span class="ml"&gt;&lt;span class="explanation_tag"&gt;イメージ&lt;/span&gt;
［A is to B what C is to D］は、シンプルに「Bに対するA」is「Dに対するC」と考えればよい。そこから「AのBに対する関係は、CのDに対する関係（と同じ）だ」という意味になる。
&lt;span class="spacer"&gt;&lt;/span&gt;&lt;span class="explanation_tag"&gt;補足&lt;/span&gt;
この表現は、本来は次のような構造になっている。
【A】is［what C is to D］ 【to B】
【A】=［what C is to D］ 【to B】
&lt;span class="spacer"&gt;&lt;/span&gt;Aは、Bに対して、CがDに対するものだ
＝Bに対するAは、Dに対するCだ
＝Bに対するAは、Dに対するCと同じだ&lt;/span&gt;</t>
  </si>
  <si>
    <t>&lt;span class="w"&gt;&lt;b&gt;【734.not so much as do ~：〜さえしない】&lt;/b&gt;&lt;/span&gt;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［not so much as do ~］は程度を表すmuchを使った、as ~ as（同等比較）の否定として考えればよい。
&lt;span class="spacer"&gt;&lt;/span&gt;［not so much as do ~］は、［do ~］と一致する（as）程度（so much）の行動をしていない（not）ということから、「〜さえしない」という意味になる。&lt;/span&gt;</t>
  </si>
  <si>
    <t>&lt;span class="w"&gt;&lt;b&gt;【735.Nothing is more ~ than A.：Aほど〜なものはない】&lt;/b&gt;&lt;/span&gt;
&lt;span class="ml"&gt;&lt;span class="explanation_tag"&gt;イメージ&lt;/span&gt;
［Nothing is more ~ than A.］は直訳すると、「nothingはAよりも、より〜である」となる。つまり、Aよりも〜なものは何もないので、「Aほど〜なものはない」という最上級の表現になる。&lt;/span&gt;</t>
  </si>
  <si>
    <t>&lt;span class="w"&gt;&lt;b&gt;【736.the former ~ , the latter …：前者は〜、後者は…】&lt;/b&gt;&lt;/span&gt;
&lt;span class="ml"&gt;&lt;span class="explanation_tag"&gt;formerの語源&lt;/span&gt;
formerは、印欧祖語&lt;strong&gt;*per-（前へ）&lt;/strong&gt;と、-mo（最上級）が合わさってできた*pre-mo-にさかのぼる。そこからゲルマン祖語を経て、古英語forma（最も前の, 最初の）となった。
&lt;span class="spacer"&gt;&lt;/span&gt;印欧祖語段階から最上級の要素が含まれていたのだが、古英語では、さらに最上級の接尾辞-estを付け加えて、formest（現在のforemost）という二重最上級が登場する。
&lt;span class="spacer"&gt;&lt;/span&gt;そしてこの最上級-estの付加にならって、比較級として作られたのが現在のformerである。
&lt;span class="spacer"&gt;&lt;/span&gt;12世紀半ばに「時間的により前の」という意味で使われ、1580年代から「2つあるもののうち前者の」という意味になった。
&lt;span class="spacer"&gt;&lt;/span&gt;&lt;span class="explanation_tag"&gt;latterの語源&lt;/span&gt;
latterは、古英語&lt;strong&gt;læt（遅い）&lt;/strong&gt;の比較級lætra（より遅い）にさかのぼる。この語からは、時間的により後であることを表すlaterと、「順番的に後者である」ことを表すlatterが生まれている。
&lt;span class="spacer"&gt;&lt;/span&gt;&lt;span class="explanation_tag"&gt;イメージ&lt;/span&gt;
［the former ~ , the latter …］は、既に述べられている2つのうち、前（for）の方＝「前者」と、後（lat）の方＝「後者」を述べる表現。既に2つとも述べられているので、特定するtheがついている。&lt;/span&gt;</t>
  </si>
  <si>
    <t>&lt;span class="w"&gt;&lt;b&gt;【737.A is one thing ; B is another：AとBは別ものである】&lt;/b&gt;&lt;/span&gt;
&lt;span class="ml"&gt;&lt;span class="explanation_tag"&gt;イメージ&lt;/span&gt;
［A is one thing ; B is another］は直訳の通り、Aは一つのこと、Bはもう一つのこと（Aに対して別の一つのこと）というイメージ。そのため「AとBは別ものである」という意味になる。
&lt;span class="spacer"&gt;&lt;/span&gt;［A is one thing ; B is another］は、この訳を覚えなければならないわけではない。one / another（あるもの / 別のもの）の対比を理解していればよい。&lt;/span&gt;</t>
  </si>
  <si>
    <t>&lt;span class="w"&gt;&lt;b&gt;【738.All one has to do is (to) do.：ただ〜さえすればよい】&lt;/b&gt;&lt;/span&gt;
&lt;span class="ml"&gt;&lt;span class="explanation_tag"&gt;イメージ&lt;/span&gt;
［All one has to do is (to) do.］は、［all］の後に関係詞が省略されており、［one has to do］が後ろから修飾していると考えればよい。
&lt;span class="spacer"&gt;&lt;/span&gt;直訳すると「〈人〉がしなければならない全てのことは、(to) doである」となる。言い換えれば、［(to) do］だけすればよいので、「ただ〜さえすればよい」という訳になる。&lt;/span&gt;</t>
  </si>
  <si>
    <t>&lt;span class="w"&gt;&lt;b&gt;【739.Suffice (it) to say that S V ~：〜といえば十分だろう】&lt;/b&gt;&lt;/span&gt;
&lt;span class="ml"&gt;&lt;span class="explanation_tag"&gt;イメージ&lt;/span&gt;
［Suffice (it) to say that S V ~］のsufficeは、sufficient（十分な）の動詞で「十分である」という意味。［to say that S V ~］で十分である（suffice）ことから、「〜といえば十分だろう」という意味になる。
&lt;span class="spacer"&gt;&lt;/span&gt;&lt;span class="explanation_tag"&gt;補足&lt;/span&gt;
形式主語itと動詞sufficeが倒置されているSuffice (it)は、提案・要求・命令・願望を表す際に使われる仮定法現在の表現。
&lt;span class="spacer"&gt;&lt;/span&gt;仮定法とは、現実世界を言葉にするのではなく、話者の頭の中にあるものを言葉にしているので、時制を現実に一致させる必要がない。
&lt;span class="spacer"&gt;&lt;/span&gt;仮定法現在は古くからの慣用表現として残っているので、難しいことは考えず、「イメージ」で述べたように、sufficeとsufficientを関連させて覚えればよい。&lt;/span&gt;</t>
  </si>
  <si>
    <t>&lt;span class="w"&gt;&lt;b&gt;【741.be forced to do：やむなく〜する】&lt;/b&gt;&lt;/span&gt;
&lt;span class="ml"&gt;&lt;span class="explanation_tag"&gt;イメージ&lt;/span&gt;
［be forced to do］は直訳すると、「〜することを強制される」となる。そこから「やむなく〜する」という強制感の強い訳になる。&lt;/span&gt;</t>
  </si>
  <si>
    <t>&lt;span class="w"&gt;&lt;b&gt;【745.tend to do：〜する傾向がある, 〜しがちである】&lt;/b&gt;&lt;/span&gt;
&lt;span class="ml"&gt;&lt;span class="explanation_tag"&gt;語源&lt;/span&gt;
tendは、ラテン語tendere（伸ばす, 引っ張る）に由来する。心や注意をある対象に向かって「伸ばす」イメージから、ある対象の方へ向かいやすい＝「傾向がある」という意味になる。
&lt;span class="spacer"&gt;&lt;/span&gt;［tend to do A］は、（他のことではなく）Aする方へ心や注意が伸びることから、「Aしがち, Aする傾向がある」という意味になる。&lt;/span&gt;</t>
  </si>
  <si>
    <t>&lt;span class="w"&gt;&lt;b&gt;【746.happen to do：偶然〜する】&lt;/b&gt;&lt;/span&gt;
&lt;span class="ml"&gt;&lt;span class="explanation_tag"&gt;語源&lt;/span&gt;
happenは、古ノルド語happ（偶然）に由来する。そこから予期しないことが偶然起こる、単純に何かが起こるという意味になった。
&lt;span class="spacer"&gt;&lt;/span&gt;&lt;span class="explanation_tag"&gt;イメージ&lt;/span&gt;
［happen to do ~］は、予期せずdoに向かう（to）イメージから「たまたま〜する」という意味になる。&lt;/span&gt;</t>
  </si>
  <si>
    <t xml:space="preserve">&lt;span class="w"&gt;&lt;b&gt;【749.bother to do：わざわざ〜する】&lt;/b&gt;&lt;/span&gt;
&lt;span class="ml"&gt;&lt;span class="explanation_tag"&gt;語源&lt;/span&gt;
botherは、語源不明の語だが、アイルランド語bodhairim（私は耳を聞こえなくする,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 面倒をかける」や、自分が「思い悩む」へと発展したと考えられる。
&lt;span class="spacer"&gt;&lt;/span&gt;&lt;span class="explanation_tag"&gt;イメージ&lt;/span&gt;
botherで重要なのは、ごちゃごちゃした状態がもたらす「面倒」や「悩ましさ」。
&lt;span class="spacer"&gt;&lt;/span&gt;［bother to do］は、面倒や悩みを承知でdoへ向かう（to）イメージから、「わざわざ〜する」という意味になる。&lt;/span&gt;  </t>
  </si>
  <si>
    <t>&lt;span class="w"&gt;&lt;b&gt;【750.come to an end / a close：終わる】&lt;/b&gt;&lt;/span&gt;
&lt;span class="ml"&gt;&lt;span class="explanation_tag"&gt;イメージ&lt;/span&gt;
［come to an end / a close］は直訳の通り、終わりに（to an end / a close）至る（come）ことから、「終わる」という意味になる。&lt;/span&gt;</t>
  </si>
  <si>
    <t>&lt;span class="w"&gt;&lt;b&gt;【753.spend 時間 (in) doing：〜して〈時間〉を過ごす】&lt;/b&gt;&lt;/span&gt;
&lt;span class="ml"&gt;&lt;span class="explanation_tag"&gt;イメージ&lt;/span&gt;
［spend 時間 (in) doing］は直訳すると、doing（の中）に時間を費やす（spend）となる。そこから「〜して〈時間〉を過ごす」という意味になる。&lt;/span&gt;</t>
  </si>
  <si>
    <t>&lt;span class="w"&gt;&lt;b&gt;【754.make a point of doing：〜することを重視する, 必ず〜するようにしている】&lt;/b&gt;&lt;/span&gt;
&lt;span class="ml"&gt;&lt;span class="explanation_tag"&gt;イメージ&lt;/span&gt;
［make a point of doing］は直訳すると、doingについて（of）重要な点を作る（make a point）となる。様々な行動の中でdoingをポイントにしているので、「〜することを重視する」という意味になる。
&lt;span class="spacer"&gt;&lt;/span&gt;さらにその行動を重視していることから、「必ず〜するようにしている」という意味になる。&lt;/span&gt;</t>
  </si>
  <si>
    <t>&lt;span class="w"&gt;&lt;b&gt;【755.S remain to be seen：Sは未定である】&lt;/b&gt;&lt;/span&gt;
&lt;span class="ml"&gt;&lt;span class="explanation_tag"&gt;イメージ&lt;/span&gt;
［be to do］と関連させて理解する。
①義務
②予定・運命
③可能
④意志
&lt;span class="spacer"&gt;&lt;/span&gt;［S &lt;strong&gt;is&lt;/strong&gt; to be seen］だと、Sはこれから見られる状態である＝「今はわからない」という意味になる。
&lt;span class="obsolete"&gt;ただし可能・義務などの解釈もある。&lt;/span&gt;
&lt;span class="spacer"&gt;&lt;/span&gt;［S &lt;strong&gt;remain&lt;/strong&gt; to be seen］は、Sはこれから見られる状態のまま残っている＝まだ結果が決まっていない＝「Sは未定である」という意味になる。&lt;/span&gt;</t>
  </si>
  <si>
    <t>&lt;span class="w"&gt;&lt;b&gt;【756.bring oneself to do：〜する気持ちになる】&lt;/b&gt;&lt;/span&gt;
&lt;span class="ml"&gt;&lt;span class="explanation_tag"&gt;イメージ&lt;/span&gt;
［bring oneself to do］は、to do（〜すること）へと自分自身を持っていくイメージから、「〜する気持ちになる」という意味になる。&lt;/span&gt;</t>
  </si>
  <si>
    <t>&lt;span class="w"&gt;&lt;b&gt;【757.take the trouble to do：わざわざ〜する】&lt;/b&gt;&lt;/span&gt;
&lt;span class="ml"&gt;&lt;span class="explanation_tag"&gt;イメージ&lt;/span&gt;
［take the trouble to do］は、to doがthe troubleを修飾している。何かをする（to do）手間・面倒（trouble）を引き受ける（take）ことから、「わざわざ〜する」という意味になる。&lt;/span&gt;</t>
  </si>
  <si>
    <t>&lt;span class="w"&gt;&lt;b&gt;【758.leave nothing to be desired：申し分ない】&lt;/b&gt;&lt;/span&gt;
&lt;span class="ml"&gt;&lt;span class="explanation_tag"&gt;イメージ&lt;/span&gt;
［leave nothing to be desired］は、to be desiredがnothingを修飾している。望まれるもの（to be desired）は何も（nothing）残っていないことから、もうこれ以上望みはない＝「申し分ない」という意味になる。&lt;/span&gt;</t>
  </si>
  <si>
    <t>&lt;span class="w"&gt;&lt;b&gt;【759.in order to do｜so as to do：〜するために】&lt;/b&gt;&lt;/span&gt;
&lt;span class="ml"&gt;&lt;span class="explanation_tag"&gt;［in order to do］のイメージ&lt;/span&gt;
［〈行動〉in order to do］は、to doがorderを修飾している。直訳すると、「何かをするための（to do）順序（order）の中に（in）いて〈行動〉している」となる。
&lt;span class="spacer"&gt;&lt;/span&gt;つまり、to doという目的に向けた手順を踏んでいることから、「〜するために」という意味になる。
&lt;span class="spacer"&gt;&lt;/span&gt;to doがorederを修飾しているので、「〜しないために」という否定にするときは、［&lt;strong&gt;not&lt;/strong&gt; to do］にする。
&lt;span class="spacer"&gt;&lt;/span&gt;&lt;span class="explanation_tag"&gt;［so as to do］のイメージ&lt;/span&gt;
［〈行動〉so as to do］は、「何かの〈行動〉をしている&lt;span class="arrow"&gt;→&lt;/span&gt;そのように（so）&lt;span class="arrow"&gt;→&lt;/span&gt;どのようにかと言うと、to doと一致（as）するように」というイメージ。
&lt;span class="spacer"&gt;&lt;/span&gt;「〜するのと一致するように〈行動〉している」ということから、「〜するために」という意味になる。
&lt;span class="spacer"&gt;&lt;/span&gt;as to doは「〜することと一致するように」なので、「〜しないために」という否定にするときは、［as &lt;strong&gt;not&lt;/strong&gt; to do］にする。&lt;/span&gt;</t>
  </si>
  <si>
    <t>&lt;span class="w"&gt;&lt;b&gt;【760.in that S V ~：〜の点で, 〜という理由で】&lt;/b&gt;&lt;/span&gt;
&lt;span class="ml"&gt;&lt;span class="explanation_tag"&gt;イメージ&lt;/span&gt;
［… in that S V ~］は直訳すると、「SがVすること（that S V）において（in）… だ」となる。これを綺麗に訳したら、「SがVする点において…」となる。
&lt;span class="spacer"&gt;&lt;/span&gt;さらに「SがVする点」と「…」の関係性によっては「〜という理由で」という日本語にすることもできる。
&lt;span class="spacer"&gt;&lt;/span&gt;&lt;span class="explanation_tag"&gt;例&lt;/span&gt;
This new system is better in that it is more efficient.
この新しいシステムは、より効率的である&lt;strong&gt;という点において&lt;/strong&gt;、より優れている
＝この新しいシステムは、より効率的である&lt;strong&gt;という理由で&lt;/strong&gt;、より優れている&lt;/span&gt;</t>
  </si>
  <si>
    <t>&lt;span class="w"&gt;&lt;b&gt;【761.as / so long as ~：（条件・時間の制限）〜する限り】&lt;/b&gt;&lt;/span&gt;
&lt;span class="ml"&gt;&lt;span class="explanation_tag"&gt;イメージ&lt;/span&gt;
［… as / so long as ~］はもともと、「〜」と「…」の長さが同じであることを表す。そこから「同じ長さであれば」という条件へと発展し、時間や条件に関して「〜する限り」という意味になる。
&lt;span class="spacer"&gt;&lt;/span&gt;&lt;span class="explanation_tag"&gt;例&lt;/span&gt;
［同じ長さ］
This rope is as long as that one.
このロープはあれと&lt;strong&gt;同じくらい長い&lt;/strong&gt;
&lt;span class="spacer"&gt;&lt;/span&gt;［条件・時間の制限へ発展］
You can stay here as long as you keep quiet.
あなたが静かにしている時間と&lt;strong&gt;同じ時間の長さ&lt;/strong&gt;、ここにいてもよい
&lt;span class="arrow"&gt;→&lt;/span&gt;静かに&lt;strong&gt;する限り&lt;/strong&gt;、ここにいてよい&lt;/span&gt;</t>
  </si>
  <si>
    <t>&lt;span class="w"&gt;&lt;b&gt;【763.so (that) S can do ~：Sが〜できるように】&lt;/b&gt;&lt;/span&gt;
&lt;span class="ml"&gt;&lt;span class="explanation_tag"&gt;イメージ&lt;/span&gt;
［… so (that) S can do ~］のsoは「そのように」という意味。「…する」&lt;span class="arrow"&gt;→&lt;/span&gt;そのように（so）&lt;span class="arrow"&gt;→&lt;/span&gt;どのようにかというと「Sが〜できるように」。
&lt;span class="spacer"&gt;&lt;/span&gt;そこから「Sが〜できるように…」という意味になる。&lt;/span&gt;</t>
  </si>
  <si>
    <t>&lt;span class="w"&gt;&lt;b&gt;【764.by the time S V ~：SがVするまでに】&lt;/b&gt;&lt;/span&gt;
&lt;span class="ml"&gt;&lt;span class="explanation_tag"&gt;イメージ&lt;/span&gt;
［by the time S V ~］のbyは「〜までに」という意味で、［S V ~］がthe timeを修飾している。そこから「SがVするまでに」という意味になる。&lt;/span&gt;</t>
  </si>
  <si>
    <t>&lt;span class="w"&gt;&lt;b&gt;【765.~ , so (that) …：〜、その結果　…】&lt;/b&gt;&lt;/span&gt;
&lt;span class="ml"&gt;&lt;span class="explanation_tag"&gt;イメージ&lt;/span&gt;
［~ , so (that) …］のsoは「そのように」という意味。［〜］があって、そのようにして［…］へと繋がることから、「〜、その結果 …」という意味になる。&lt;/span&gt;</t>
  </si>
  <si>
    <t>&lt;span class="w"&gt;&lt;b&gt;【766.now (that) S V ~：今はもう〜なので】&lt;/b&gt;&lt;/span&gt;
&lt;span class="ml"&gt;&lt;span class="explanation_tag"&gt;イメージ&lt;/span&gt;
［now (that) S V ~］は直訳すると、「今は〜ということ」となる。これが主節に対する理由になっているので、「今はもう〜なので …」という訳になる。
&lt;span class="spacer"&gt;&lt;/span&gt;&lt;span class="explanation_tag"&gt;例&lt;/span&gt;
Now that you are here, we can start.
今はあなたがここにいる、なので始められる&lt;/span&gt;</t>
  </si>
  <si>
    <t>&lt;span class="w"&gt;&lt;b&gt;【767.in case S V ~：①もし〜なら, ②〜の場合に備えて】&lt;/b&gt;&lt;/span&gt;
&lt;span class="ml"&gt;&lt;span class="spacer"&gt;&lt;/span&gt;&lt;span class="explanation_tag"&gt;イメージ&lt;/span&gt;
［in case S V ~］は直訳のイメージで覚えればよい。直訳すると、SがVするケース・場合（case S V）において（in）となる。「このケースではこう、別のケースではこう」というように場合分けするイメージから、「もし〜ならば」という条件分けの意味になる。
&lt;span class="spacer"&gt;&lt;/span&gt;また、あらかじめ場合分けしておくイメージから、「〜の場合に備えて」という意味になる。&lt;/span&gt;</t>
  </si>
  <si>
    <t>&lt;span class="w"&gt;&lt;b&gt;【768.given (that) ~：〜を考慮すると, 〜を前提とすれば】&lt;/b&gt;&lt;/span&gt;
&lt;span class="ml"&gt;&lt;span class="explanation_tag"&gt;イメージ&lt;/span&gt;
［given (that) ~］は、［〜］がすでに前提として与えられている、ということを表しているだけ。そこから「〜を前提とすれば」「〜を考慮すれば」という意味になる。&lt;/span&gt;</t>
  </si>
  <si>
    <t>&lt;span class="w"&gt;&lt;b&gt;【769.even as ~：まさに〜するときに】&lt;/b&gt;&lt;/span&gt;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［even as ~］のasは時間の一致（同時性）を表し、evenはその同時性を強調する。そこから「まさに〜するときに」という同時性の強調表現となる。&lt;/span&gt;</t>
  </si>
  <si>
    <t>&lt;span class="w"&gt;&lt;b&gt;【771.on (the) condition (that) S V ~：〜という条件で】&lt;/b&gt;&lt;/span&gt;
&lt;span class="ml"&gt;&lt;span class="explanation_tag"&gt;イメージ&lt;/span&gt;
［on (the) condition (that) S V ~］は、［S V］というcondition（条件）の上に立っていることを表して、「〜という条件で」という意味になる。&lt;/span&gt;</t>
  </si>
  <si>
    <t>&lt;span class="w"&gt;&lt;b&gt;【772.lest S (should) do ~：Sが〜しないように, Sが〜するといけないから】&lt;/b&gt;&lt;/span&gt;
&lt;span class="ml"&gt;&lt;span class="explanation_tag"&gt;lestの語源&lt;/span&gt;
lestは、古英語þy læs þeというフレーズにさかのぼる。現代英語で言えば、that（それによって）less（より少なく）the（その分だけ）にあたる。
&lt;span class="spacer"&gt;&lt;/span&gt;A þy læs þe B（A that less the B）は直訳すると、A〈それによって〉〈その分だけ〉Bの程度が〈より少なくなるように〉となる。
&lt;span class="spacer"&gt;&lt;/span&gt;その後、中英語においてþyが消失し、læs þe（その分だけ少なくなるように）が1語になってleste（現代のlest）になった。
&lt;span class="spacer"&gt;&lt;/span&gt;&lt;span class="explanation_tag"&gt;イメージ&lt;/span&gt;
［lest S (should) do ~］は、「S (should) do ~」の程度がlessになるように何かをするイメージ。そこから「Sが〜しないように, Sが〜するといけないから」という訳になる。&lt;/span&gt;</t>
  </si>
  <si>
    <t>&lt;span class="w"&gt;&lt;b&gt;【774.…, and ~ at that：…だ、その上〜だ】&lt;/b&gt;&lt;/span&gt;
&lt;span class="ml"&gt;&lt;span class="explanation_tag"&gt;イメージ&lt;/span&gt;
［…, and ~ at that］は、文の流れ通り、始まりから終わりまでの直訳からイメージをつかめばよい。
&lt;span class="spacer"&gt;&lt;/span&gt;まず［…］部分で何らかの情報を提示する。次にandで後半へと繋いで、［〜］で情報を追加し、最後にthat（前に述べた…部分全体）という点でね（at）という形で〈情報の追加〉を念押しする。
&lt;span class="spacer"&gt;&lt;/span&gt;きれいな日本語にすると「…だ、その上〜だ」という形になるが、直訳的な「…だ、そして〜だ、その点に関してね」というイメージを持っておけばよい。&lt;/span&gt;</t>
  </si>
  <si>
    <t>&lt;span class="w"&gt;&lt;b&gt;【777.go ahead：先に行く, 先へ進む】&lt;/b&gt;&lt;/span&gt;
&lt;span class="ml"&gt;&lt;span class="explanation_tag"&gt;語源&lt;/span&gt;
aheadは1620年代に、a（上に）と、head（先頭）が合わさってできた語。もともとは航海用語で船の前方を表したが、そこから一般的に「前へ」という意味になった。
&lt;span class="spacer"&gt;&lt;/span&gt;&lt;span class="explanation_tag"&gt;イメージ&lt;/span&gt;
［go ahead］は直訳の通り、「先に行く」「先へ進む」という意味になる。&lt;/span&gt;</t>
  </si>
  <si>
    <t>&lt;span class="w"&gt;&lt;b&gt;【778.check out ~：①〜を見てみる, 〜を点検する, ②（図書館などから）〜を借り出す】&lt;/b&gt;&lt;/span&gt;
&lt;span class="ml"&gt;&lt;span class="explanation_tag"&gt;イメージ&lt;/span&gt;
［check out A］は、注意を外側へ向けて（out）チェックすることから、①「〜を見てみる, 〜を点検する」という意味になる。
&lt;span class="spacer"&gt;&lt;/span&gt;また何かを確認して、外に出す・外に出ることから、「〜を借り出す」という意味になる。
&lt;span class="spacer"&gt;&lt;/span&gt;&lt;span class="explanation_tag"&gt;補足&lt;/span&gt;
check ~ outの語順にもなる。&lt;/span&gt;</t>
  </si>
  <si>
    <t>&lt;span class="w"&gt;&lt;b&gt;【781.give ~ a try：〜を試してみる】&lt;/b&gt;&lt;/span&gt;
&lt;span class="ml"&gt;&lt;span class="explanation_tag"&gt;イメージ&lt;/span&gt;
［give X a try］は直訳すると、「Xに1回の試みを与える」となる。そこから、気楽に「Xを試してみる」という意味になる。&lt;/span&gt;</t>
  </si>
  <si>
    <t>&lt;span class="w"&gt;&lt;b&gt;【782.give ~ a hand：〜に手を貸す】&lt;/b&gt;&lt;/span&gt;
&lt;span class="ml"&gt;［give X a hand］は直訳の通り、「手を貸す」という意味になる。&lt;/span&gt;</t>
  </si>
  <si>
    <t>&lt;span class="w"&gt;&lt;b&gt;【783.call back (~)：（〜に）折り返し電話をする, 〜を呼び戻す】&lt;/b&gt;&lt;/span&gt;
&lt;span class="ml"&gt;&lt;span class="explanation_tag"&gt;イメージ&lt;/span&gt;
［call back (~)］は、①電話をし返すことから「（〜に）折り返し電話をする」、②誰かを呼んで（call）戻す（back）ことから「〜を呼び戻す」という意味になる。
&lt;span class="spacer"&gt;&lt;/span&gt;&lt;span class="explanation_tag"&gt;補足&lt;/span&gt;
call ~ backの語順にもなる。&lt;/span&gt;</t>
  </si>
  <si>
    <t>&lt;span class="w"&gt;&lt;b&gt;【786.hold one's breath：息を止める】&lt;/b&gt;&lt;/span&gt;
&lt;span class="ml"&gt;&lt;span class="explanation_tag"&gt;イメージ&lt;/span&gt;
［hold one's breath］は、自分の息（one's breath）を保持する（hold）することから、「息を止める」という意味になる。&lt;/span&gt;</t>
  </si>
  <si>
    <t>&lt;span class="w"&gt;&lt;b&gt;【788.having said that：そうは言ったものの】&lt;/b&gt;&lt;/span&gt;
&lt;span class="ml"&gt;&lt;span class="explanation_tag"&gt;イメージ&lt;/span&gt;
［having said that］は、分詞構文が慣用的なフレーズになったもの。既に述べた内容をthatで示し、既に述べているということを時制が一つ前になっているhaving saidで示す。そこから「そうは言ったものの」という意味になる。&lt;/span&gt;</t>
  </si>
  <si>
    <t>&lt;span class="w"&gt;&lt;b&gt;【790.ask〈人〉a favor：〈人〉にお願いをする】&lt;/b&gt;&lt;/span&gt;
&lt;span class="ml"&gt;&lt;span class="explanation_tag"&gt;語源&lt;/span&gt;
名詞favorは、ラテン語favor（好意, 支持, 偏愛）に由来する。この語の核は、相手に対して好意を持つこと、そして好意を持って相手に何かをすること。
&lt;span class="spacer"&gt;&lt;/span&gt;14世紀半ばから「善意, 親切な配慮」、14世紀後期から「親切な行為」という意味で使われた。
&lt;span class="spacer"&gt;&lt;/span&gt;&lt;span class="explanation_tag"&gt;イメージ&lt;/span&gt;
［ask〈人〉a favor］は語源をもとに直訳すると、「人に対して、（自分への）好意や親切な行為を求める」となる。そこから、「〈人〉にお願いをする」という意味になる。&lt;/span&gt;</t>
  </si>
  <si>
    <t>&lt;span class="w"&gt;&lt;b&gt;【791.drive at ~：（be driving atで）～のつもりである】&lt;/b&gt;&lt;/span&gt;
&lt;span class="ml"&gt;&lt;span class="explanation_tag"&gt;語源&lt;/span&gt;
driveは、古英語drifan（何かを動かすように強いる, ある方向や方法へ押しやる）にさかのぼる。
&lt;span class="spacer"&gt;&lt;/span&gt;driveと聞くと「運転する」という意味が思い浮かぶかもしれないが、この語が使われた古英語の時代（500-1100年）には、当然車など存在しない。
&lt;span class="spacer"&gt;&lt;/span&gt;driveの核は、「何かをある方向に押しやる」こと。そこから馬車について、馬をコントロールして目的地まで向かわせるという意味になり、その後自動車の登場により、運転するという意味になった。
&lt;span class="spacer"&gt;&lt;/span&gt;&lt;span class="explanation_tag"&gt;イメージ&lt;/span&gt;
［drive at］は、会話において、少し遠回しな感じで話をある方向に向かわせているイメージ。そこから「〜のつもりである」という言葉の意図を表す意味になる。
&lt;span class="spacer"&gt;&lt;/span&gt;&lt;span class="explanation_tag"&gt;例&lt;/span&gt;
What are you driving at?
あなたは話を何に向かわせてるの？
&lt;span class="arrow"&gt;→&lt;/span&gt;あなたは何が言いたいの？
&lt;span class="arrow"&gt;→&lt;/span&gt;どういうつもり？
&lt;span class="spacer"&gt;&lt;/span&gt;Are you driving at the fact that it was my fault?
あなたは私のせいだという事実に話を向かわせているの？
&lt;span class="arrow"&gt;→&lt;/span&gt;あなたは私のせいだと言いたいの？&lt;/span&gt;</t>
  </si>
  <si>
    <t>lose (one's) face</t>
    <phoneticPr fontId="1"/>
  </si>
  <si>
    <t>&lt;span class="w"&gt;&lt;b&gt;【792.lose (one's) face：面目を失う】&lt;/b&gt;&lt;/span&gt;
&lt;span class="ml"&gt;&lt;span class="explanation_tag"&gt;イメージ&lt;/span&gt;
［lose (one's) face］は直訳すると「顔を失う」となる。この「顔」は世の中に向ける顔、つまり世間体・名誉・威信を表している。そこから「面目を失う」という意味になる。&lt;/span&gt;</t>
  </si>
  <si>
    <t>&lt;span class="w"&gt;&lt;b&gt;【793.before one knows it：あっという間に】&lt;/b&gt;&lt;/span&gt;
&lt;span class="ml"&gt;&lt;span class="explanation_tag"&gt;イメージ&lt;/span&gt;
［before S knows it］は直訳すると、「Sがそれを知る（気づく）前に」となる。状況や状態の変化を頭で認識してそれを意識する前に何かが起こっていることを表して、「あっという間に」という意味になる。&lt;/span&gt;</t>
  </si>
  <si>
    <t>stick around / about</t>
    <phoneticPr fontId="1"/>
  </si>
  <si>
    <t>&lt;span class="w"&gt;&lt;b&gt;【795.call it a day：その日の仕事を終える】&lt;/b&gt;&lt;/span&gt;
&lt;span class="ml"&gt;&lt;span class="explanation_tag"&gt;語源&lt;/span&gt;
1875年に学校の教師に関して使われている。
to close the school at noon and call it a day
正午に学校を閉めてその日の仕事を終わりにする
&lt;span class="spacer"&gt;&lt;/span&gt;1877年には、day's laborという形が見られる。
to call it a day’s labor
それを一日分の労働とみなす
&lt;span class="spacer"&gt;&lt;/span&gt;1902年までに、その日の仕事をやめる、努力を打ち切るという意味で使われた。
&lt;span class="spacer"&gt;&lt;/span&gt;&lt;span class="explanation_tag"&gt;イメージ&lt;/span&gt;
［call it a day］は、それ（＝その時点で行われた労働）を1日（分の仕事）と呼ぶことから、「その日の仕事を終える」「今日はここまでで切り上げる」という意味になる。
&lt;span class="spacer"&gt;&lt;/span&gt;&lt;span class="explanation_tag"&gt;補足&lt;/span&gt;
時間帯が夜であれば、［call it a &lt;strong&gt;night&lt;/strong&gt;］となる。&lt;/span&gt;</t>
  </si>
  <si>
    <t>&lt;span class="w"&gt;&lt;b&gt;【796.have (a) good command of ~：～を自由に使いこなす能力がある】&lt;/b&gt;&lt;/span&gt;
&lt;span class="ml"&gt;&lt;span class="explanation_tag"&gt;語源&lt;/span&gt;
動詞commandは、ラテン語com（強意）と、manus（手）、dare（与える）が合わさってできた語。
&lt;span class="spacer"&gt;&lt;/span&gt;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&lt;span class="spacer"&gt;&lt;/span&gt;名詞commandは、この動詞から派生したもの。相手に命令して自分の思い通りにすることから、「何かを支配する力」や「言語や技術などを使いこなす能力」という意味が生まれた。
&lt;span class="spacer"&gt;&lt;/span&gt;&lt;span class="explanation_tag"&gt;イメージ&lt;/span&gt;
［have (a) good command of A］は、Aを自分のもののように支配して使いこなす優れた（good）能力を持っていることを表す。そこから「～を自由に使いこなす能力がある」という意味になる。&lt;/span&gt;</t>
  </si>
  <si>
    <t>&lt;span class="w"&gt;&lt;b&gt;【798.pay a visit (to ~)：（～を）訪問する】&lt;/b&gt;&lt;/span&gt;
&lt;span class="ml"&gt;&lt;span class="explanation_tag"&gt;イメージ&lt;/span&gt;
［pay a visit (to A)］のpayは、何かを与えることを意味する。（Aに対して）1度の訪問（a visit）を与えることから、「（〜を）訪れる」という意味になる。&lt;/span&gt;</t>
  </si>
  <si>
    <t>&lt;span class="w"&gt;&lt;b&gt;【799.S serve〈人〉right：Sは〈人〉に当然の報いだ】&lt;/b&gt;&lt;/span&gt;
&lt;span class="ml"&gt;&lt;span class="explanation_tag"&gt;語源&lt;/span&gt;
serveは、ラテン語servire（召使いである, 奉仕する）に由来する。召使いのように相手に接することから、何かに「仕える, 奉公する」という意味になった。
&lt;span class="spacer"&gt;&lt;/span&gt;service（サービス）も語源的にserveと関連し、こちらはラテン語servus（奴隷）にさかのぼる。奴隷が主人のためにあれこれすることが、現代のサービスへと発展した。
&lt;span class="spacer"&gt;&lt;/span&gt;またテニスの「サーブ」は英語serveから派生したもの。もともと貴族の遊びであるテニスの第一球目は、使用人がコートの横からボールを投げ入れていた。つまり、サーブとは使用人による奉仕だった。
&lt;span class="spacer"&gt;&lt;/span&gt;&lt;span class="explanation_tag"&gt;イメージ&lt;/span&gt;
［S serve〈人〉right］は語源的に考えると、Sがその人に正しく（right）仕えている（serve）ことを表す。出来事が主語になれば、その出来事が擬人化されて、出来事がその人に起きて（仕えて）当然である＝「Sは〈人〉に当然の報いだ」という意味になる。&lt;/span&gt;</t>
  </si>
  <si>
    <t>&lt;span class="w"&gt;&lt;b&gt;【802.turn a blind eye to ~：〜を見て見ぬふりをする】&lt;/b&gt;&lt;/span&gt;
&lt;span class="ml"&gt;&lt;span class="explanation_tag"&gt;イメージ&lt;/span&gt;
［turn a blind eye to A］は直訳すると、Aに対して（to A）見えない目（a blind eye）を向ける（turn）となる。つまり、Aという対象に目を向けても見ていないことから、「Aを見て見ぬふりをする」という意味になる。&lt;/span&gt;</t>
  </si>
  <si>
    <t>&lt;span class="w"&gt;&lt;b&gt;【804.know ~ by sight：〜を見て知っている】&lt;/b&gt;&lt;/span&gt;
&lt;span class="ml"&gt;&lt;span class="explanation_tag"&gt;イメージ&lt;/span&gt;
 ［know A by sight］は直訳すると、見ることによって（by sight）Aを知っている（know A）となる。つまり外見的にAを知っているが、話したことはほとんどなく、どのような人間なのかは知らないということを表して、「Aを見て知っている」という意味になる。&lt;/span&gt;</t>
  </si>
  <si>
    <t>&lt;span class="w"&gt;&lt;b&gt;【805.pull ~'s leg：からかう】&lt;/b&gt;&lt;/span&gt;
&lt;span class="ml"&gt;&lt;span class="explanation_tag"&gt;イメージ&lt;/span&gt;
［pull ~'s leg］は、誰かの足を引っかけるように、相手を軽く「からかう」ことを意味する。&lt;/span&gt;</t>
  </si>
  <si>
    <t>&lt;span class="w"&gt;&lt;b&gt;【807.have / take a look (at ~)：（〜を）見る】&lt;/b&gt;&lt;/span&gt;
&lt;span class="ml"&gt;&lt;span class="explanation_tag"&gt;イメージ&lt;/span&gt;
［have / take a look (at ~)］は直訳すると、「1回の見るという作業を持つ」となり、そこから「〜を見る」という意味になる。&lt;/span&gt;</t>
  </si>
  <si>
    <t>&lt;span class="w"&gt;&lt;b&gt;【808.What ~ like?：〜はどんなものか】&lt;/b&gt;&lt;/span&gt;
&lt;span class="ml"&gt;&lt;span class="explanation_tag"&gt;イメージ&lt;/span&gt;
［What ~ like?］は、元の形から考えれば理解しやすい。
&lt;span class="spacer"&gt;&lt;/span&gt;The new teacher is like [A].
新しい先生はAみたいだ
&lt;span class="spacer"&gt;&lt;/span&gt;The new teacher is like [what] ?
新しい先生は何みたい？
&lt;span class="spacer"&gt;&lt;/span&gt;[what] is the new teacher like?
新しい先生はどんな人？
&lt;span class="spacer"&gt;&lt;/span&gt;このようにwhatは、前置詞likeの目的語だったものなので、「〜はどんなものか」という疑問になる。&lt;/span&gt;</t>
  </si>
  <si>
    <t>&lt;span class="w"&gt;&lt;b&gt;【809.What ~ for?：どうして〜か, 何のために〜か】&lt;/b&gt;&lt;/span&gt;
&lt;span class="ml"&gt;&lt;span class="explanation_tag"&gt;イメージ&lt;/span&gt;
［What ~ for?］は、元の形から考えれば理解しやすい。
&lt;span class="spacer"&gt;&lt;/span&gt;You use this tool for [A].
Aのためにこの道具を使う
&lt;span class="spacer"&gt;&lt;/span&gt;You use this tool for [what] ?
何のためにこの道具を使う？
&lt;span class="spacer"&gt;&lt;/span&gt;[what] do you use this tool for?
何のためにこの道具を使うの？
どうしてこの道具を使うの？
&lt;span class="spacer"&gt;&lt;/span&gt;このようにwhatは、前置詞forの目的語だったものなので、「何のために, どうして」という疑問になる。&lt;/span&gt;</t>
  </si>
  <si>
    <t>&lt;span class="w"&gt;&lt;b&gt;【810.have no idea：見当もつかない】&lt;/b&gt;&lt;/span&gt;
&lt;span class="ml"&gt;&lt;span class="explanation_tag"&gt;イメージ&lt;/span&gt;
［have no idea］は直訳の通り、アイデアがゼロなので「見当もつかない」という意味になる。&lt;/span&gt;</t>
  </si>
  <si>
    <t>&lt;span class="w"&gt;&lt;b&gt;【811.could use ~：〜があればありがたい, 〜が欲しい】&lt;/b&gt;&lt;/span&gt;
&lt;span class="ml"&gt;&lt;span class="explanation_tag"&gt;イメージ&lt;/span&gt;
［could use A］は、「もしもAがあれば有効に使えるのになぁ」という、少し遠回しな「Aが欲しい, Aがあればありがたい」という表現。&lt;/span&gt;</t>
  </si>
  <si>
    <t>&lt;span class="w"&gt;&lt;b&gt;【812.How come (S V ~) ?：どうして（〜か）】&lt;/b&gt;&lt;/span&gt;
&lt;span class="ml"&gt;&lt;span class="explanation_tag"&gt;イメージ&lt;/span&gt;
［How come (S V ~) ?］は、次のような省略だと考えれば良い。
&lt;span class="spacer"&gt;&lt;/span&gt;&lt;strong&gt;How&lt;/strong&gt; did it &lt;strong&gt;come&lt;/strong&gt; about that S V ~ ?
SVはどのように起こったの？
＝どうしてSVになったの？
&lt;span class="spacer"&gt;&lt;/span&gt;また「どうやって（SVということが）来るのか」という直訳から、「どうして〜が起こるのか」＝「どうして〜か」とイメージすればよい。&lt;/span&gt;</t>
  </si>
  <si>
    <t>&lt;span class="w"&gt;&lt;b&gt;【813.take one's time：ゆっくりやる, 自分のペースでやる】&lt;/b&gt;&lt;/span&gt;
&lt;span class="ml"&gt;&lt;span class="explanation_tag"&gt;イメージ&lt;/span&gt;
［take one's time］は、誰かのペースに合わせるのではなく、その人自身の時間をかけるということから「ゆっくりやる, 自分のペースでやる」という意味になる。&lt;/span&gt;</t>
  </si>
  <si>
    <t>&lt;span class="w"&gt;&lt;b&gt;【814.take it easy：のんびり構える】&lt;/b&gt;&lt;/span&gt;
&lt;span class="ml"&gt;&lt;span class="explanation_tag"&gt;イメージ&lt;/span&gt;
［take it easy］のitは特定の何かを指す代名詞ではなく、状況や物事全体を漠然と表す。状況や物事（it）を気楽に（easy）とらえる（take）ことから、「のんびり構える」という意味になる。&lt;/span&gt;</t>
  </si>
  <si>
    <t>&lt;span class="w"&gt;&lt;b&gt;【815.My pleasure.：どういたしまして】&lt;/b&gt;&lt;/span&gt;
&lt;span class="ml"&gt;&lt;span class="explanation_tag"&gt;イメージ&lt;/span&gt;
［My pleasure］は、Thank you.という感謝の言葉に対して、It's my pleasure.（それは私の喜びでした＝お役に立ててよかったです＝どういたしまして）からIt‘sがなくなったと考えればよい。&lt;/span&gt;</t>
  </si>
  <si>
    <t>&lt;span class="w"&gt;&lt;b&gt;【816.make oneself understood：自分の言うことを相手にわからせる】&lt;/b&gt;&lt;/span&gt;
&lt;span class="ml"&gt;&lt;span class="explanation_tag"&gt;イメージ&lt;/span&gt;
［make oneself understood］は直訳すると、自分自身（oneself）を理解された状態（understood）にする（make）となる。つまり、自分の言葉を相手に理解されるようにすることから、「自分の言うことを相手にわからせる」という意味になる。&lt;/span&gt;</t>
  </si>
  <si>
    <t>&lt;span class="w"&gt;&lt;b&gt;【818.think again：考え直す】&lt;/b&gt;&lt;/span&gt;
&lt;span class="ml"&gt;&lt;span class="explanation_tag"&gt;イメージ&lt;/span&gt;
［think again］は直訳の通り、もう一度考える＝「考え直す」という意味になる。&lt;/span&gt;</t>
  </si>
  <si>
    <t>&lt;span class="w"&gt;&lt;b&gt;【820.I'm afraid not.：残念ながらそうではない】&lt;/b&gt;&lt;/span&gt;
&lt;span class="ml"&gt;&lt;span class="explanation_tag"&gt;イメージ&lt;/span&gt;
［I'm afraid not.］は、I'm afraid that it is not so.（そうではないことが残念です）という表現のthatいかが、notの1語だけに省略されたものだと考えればよい。
&lt;span class="spacer"&gt;&lt;/span&gt;「残念ながらそのようです」の場合は、I‘m afraid so.となる。&lt;/span&gt;</t>
  </si>
  <si>
    <t>&lt;span class="w"&gt;&lt;b&gt;【821.treat A to B：AにBをごちそうする, おごる】&lt;/b&gt;&lt;/span&gt;
&lt;span class="ml"&gt;&lt;span class="explanation_tag"&gt;語源&lt;/span&gt;
treatは、物事を「扱う」、医療において「治療する」といった「対象を扱う」という意味から発展して、1710年代から「食事でもてなす」という意味がある。
&lt;span class="spacer"&gt;&lt;/span&gt;&lt;span class="explanation_tag"&gt;イメージ&lt;/span&gt;
［treat A to B］は直訳すると、「食事・物・娯楽などのBに向けてAを扱う」となる。どうぞどうぞとBの方にAを連れて行って、Aを扱うイメージから、「AにBをごちそうする, おごる」という意味になる。&lt;/span&gt;</t>
  </si>
  <si>
    <t>&lt;span class="w"&gt;&lt;b&gt;【823.come to think of it：考えてみると】&lt;/b&gt;&lt;/span&gt;
&lt;span class="ml"&gt;&lt;span class="explanation_tag"&gt;イメージ&lt;/span&gt;
［come to think of it］は、come to do（徐々に〜するようになる, doに至る）と、think of A（Aについて考える）が合わさったもの。
&lt;span class="spacer"&gt;&lt;/span&gt;直訳すると「それについて考える（think of it）ようになると（come to）」になる。このまま覚えてもよいし、すっきりまとめた「考えてみると」という訳で覚えてもよい。&lt;/span&gt;</t>
  </si>
  <si>
    <t>&lt;span class="w"&gt;&lt;b&gt;【825.Legend has it (that) S V ~：伝説によると〜ということだ】&lt;/b&gt;&lt;/span&gt;
&lt;span class="ml"&gt;&lt;span class="explanation_tag"&gt;イメージ&lt;/span&gt;
［Legend has it (that) S V ~］は直訳すると、「伝説はit＝that S Vを持っている」となる。つまり、伝説の中に「SがVすること」という話が含まれているので、「伝説によると〜ということだ」という訳になる。&lt;/span&gt;</t>
  </si>
  <si>
    <t>&lt;span class="w"&gt;&lt;b&gt;【826.Here we are.：さぁ着いた, ほらここにあった, はいできた】&lt;/b&gt;&lt;/span&gt;
&lt;span class="ml"&gt;&lt;span class="explanation_tag"&gt;イメージ&lt;/span&gt;
［Here we are.］は、hereが目的への到達・開始地点への到着を表し、「さぁ我々は目的に着いたぞ」「さぁ我々はスタートに着いたぞ」というニュアンスになる。そこから、目的地に「さぁ着いた」、目的のものが「ほらあった」、何かが完成して「はいできた」といった意味になる。&lt;/span&gt;</t>
  </si>
  <si>
    <t>&lt;span class="w"&gt;&lt;b&gt;【828.watch one's step：足元に気をつける, 行動や言動に気をつける】&lt;/b&gt;&lt;/span&gt;
&lt;span class="ml"&gt;&lt;span class="explanation_tag"&gt;イメージ&lt;/span&gt;
［watch one's step］は直訳すると、自分の1歩1歩（one's step）を注意して見る（watch）となる。そこから「足元に気をつける」という意味になる。
&lt;span class="spacer"&gt;&lt;/span&gt;また、実際に滑ったり落ちたりしないように足元に気をつけることから、比喩的に、自分の行動や言動によってトラブルや失敗を起こさないように気をつける＝「行動や言動に気をつける」という意味にもなる。&lt;/span&gt;</t>
  </si>
  <si>
    <t>&lt;span class="w"&gt;&lt;b&gt;【829.give one's regards to ~：（手紙・伝言などで）〜によろしく伝える】&lt;/b&gt;&lt;/span&gt;
&lt;span class="ml"&gt;&lt;span class="explanation_tag"&gt;語源&lt;/span&gt;
動詞regardは、古フランス語re（強意）と、garder（見る, 注意する）が合わさってできた語。このgarderは、ボディガードのguard（監視者）の語源でもある。つまり、regardのgard部分の意味の核は「注意して見る」。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class="spacer"&gt;&lt;/span&gt;ここでは名詞regardが使われており、「尊敬, 敬意」を意味する。
&lt;span class="spacer"&gt;&lt;/span&gt;&lt;span class="explanation_tag"&gt;イメージ&lt;/span&gt;
［give one's regards to A］は直訳すると、Aに対して（to A）自分の敬意や尊敬の気持ち（one's regards）を渡しておいてください（give）となる。これを日本語で表現すると「よろしく伝える」となる。&lt;/span&gt;</t>
  </si>
  <si>
    <t>&lt;span class="w"&gt;&lt;b&gt;【830.You're kidding (me).：冗談でしょう】&lt;/b&gt;&lt;/span&gt;
&lt;span class="ml"&gt;&lt;span class="explanation_tag"&gt;イメージ&lt;/span&gt;
kidding（動詞kid）は、おそらく子どものように扱うことから、「冗談を言う」という意味になった。
&lt;span class="spacer"&gt;&lt;/span&gt;［You're kidding (me).］は直訳すれば、「あなたは（私を）からかっているでしょう」＝「冗談でしょう」となる。&lt;/span&gt;</t>
  </si>
  <si>
    <t>&lt;span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t>
  </si>
  <si>
    <t>&lt;span class="w"&gt;&lt;b&gt;【835.be liable to do / to 名詞：〜しがちである, 〜を受けやすい, 〜に責任がある】&lt;/b&gt;&lt;/span&gt;
&lt;span class="ml"&gt;&lt;span class="explanation_tag"&gt;語源&lt;/span&gt;
liableは、ラテン語ligere（縛る, 結びつける, 義務で拘束する）に由来する。
&lt;span class="spacer"&gt;&lt;/span&gt;［S be liable to do / to 名詞A］は、Sが動詞（do）や名詞Aに対して縛り付けられているイメージ。縛り付けられてぎゅっと結びついているから、他の動詞ではなくdo「しがちである」、名詞Aを「受けやすい」という意味になる。
&lt;span class="spacer"&gt;&lt;/span&gt;また、語源となったラテン語の「義務で拘束する」というニュアンスが残っており、「Aに責任がある」という意味にもなる。&lt;/span&gt;</t>
  </si>
  <si>
    <t>&lt;span class="w"&gt;&lt;b&gt;【840.be worth doing：〜する価値がある】&lt;/b&gt;&lt;/span&gt;
&lt;span class="ml"&gt;&lt;span class="explanation_tag"&gt;語源&lt;/span&gt;
worthは、古英語weorþ（価値がある）にさかのぼる。この語は、中英語期の1200年頃から前置詞的に使われるようになった。
&lt;span class="spacer"&gt;&lt;/span&gt;［be wroth doing］は、前置詞的なworthの後にdoingが置かれて、「〜する価値がある」という意味になる。&lt;/span&gt;</t>
  </si>
  <si>
    <t>&lt;span class="w"&gt;&lt;b&gt;【842.be all ears：一心に耳を傾ける】&lt;/b&gt;&lt;/span&gt;
&lt;span class="ml"&gt;&lt;span class="explanation_tag"&gt;イメージ&lt;/span&gt;
［S be all ears］は直訳すると、「Sが全て（両）耳になる」となる。両耳で何かを聞くことに完全に集中していることから、「一心に耳を傾ける」という意味になる。&lt;/span&gt;</t>
  </si>
  <si>
    <t>&lt;span class="w"&gt;&lt;b&gt;【845.be (all) the rage：（大）流行している】&lt;/b&gt;&lt;/span&gt;
&lt;span class="ml"&gt;&lt;span class="spacer"&gt;&lt;/span&gt;&lt;span class="explanation_tag"&gt;語源&lt;/span&gt;
rageは、ラテン語rabies（狂気, 激怒）に由来する。ラテン語からあまり変わらず、現代でも「激怒」や、狂ったような「激しさ」を意味する。
&lt;span class="spacer"&gt;&lt;/span&gt;1785年からは、the rageで「流行」を意味するようになった。これは激怒や狂ったような激しさから比喩的に、一気に人々の間に広まり社会的なブームになる様子を表している。
&lt;span class="spacer"&gt;&lt;/span&gt;そこから［be (all) the rage］は、「（大）流行している」という意味になる。このallは、the rage（流行）を強調している。&lt;/span&gt;</t>
  </si>
  <si>
    <t>&lt;span class="w"&gt;&lt;b&gt;【550.be similar to ~：～に似ている】&lt;/b&gt;&lt;/span&gt;
&lt;span class="ml"&gt;&lt;span class="explanation_tag"&gt;語源&lt;/span&gt;
similarは、ラテン語semol（一緒に）から派生したsimilis（似ている）に由来する語。さらにさかのぼると印欧祖語*sem-（同じ）に行きつく。この印欧祖語は、英語sameの語源でもある。
&lt;span class="spacer"&gt;&lt;/span&gt;［be similar to A］は、Aに対して（to A）似ている（similar）ことから、そのまま「Aに似ている」となる。&lt;/span&gt;</t>
    <rPh sb="42" eb="43">
      <t>ニ</t>
    </rPh>
    <phoneticPr fontId="1"/>
  </si>
  <si>
    <t>&lt;span class="w"&gt;&lt;b&gt;【8.allow：～を許す, ～を考慮に入れる, ～を与える】&lt;/b&gt;&lt;/span&gt;
&lt;span class="ml"&gt;allowは2つのラテン語の単語がひとつになってできたので、それぞれ分けて考えるとよい。
&lt;span class="spacer"&gt;&lt;/span&gt;1つはallaudere（賞賛する）という語。賞賛という評価を行う場合、評価の前に考慮が必要となる。つまり様々なポイントを考慮した結果、評価が生まれる。ここから「何かを考慮に入れる」という意味になる。
&lt;span class="spacer"&gt;&lt;/span&gt;もう1つはallocare（～へ置く）という語。相手に対して何かを置くということから、何かを「与える」という意味になる。
&lt;span class="spacer"&gt;&lt;/span&gt;そして最後に、賞賛と与えるという2つの意味から、相手のことを認めて何かを与える＝相手の要求を認めて「許可する」という意味になる。&lt;/span&gt;</t>
  </si>
  <si>
    <t>&lt;span class="w"&gt;&lt;b&gt;【26.deal：～を分配する, （deal with）～を扱う, （deal in）～を商う】&lt;/b&gt;&lt;/span&gt;
&lt;span class="ml"&gt;古英語dælan（分配する）にさかのぼる語。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A］で、Aを商売として扱うビジネスにおいて利益を分配することから、「Aを取り扱う, 商う」という意味になる。&lt;/span&gt;</t>
  </si>
  <si>
    <t>&lt;span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t>
  </si>
  <si>
    <t>&lt;span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t>
  </si>
  <si>
    <t>&lt;span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t>
  </si>
  <si>
    <t>&lt;span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t>
  </si>
  <si>
    <t>&lt;span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t>
  </si>
  <si>
    <t>&lt;span class="w"&gt;&lt;b&gt;【849.yearn for ~：〜を恋しがる, 〜に憧れる】&lt;/b&gt;&lt;/span&gt;
&lt;span class="ml"&gt;&lt;span class="explanation_tag"&gt;語源&lt;/span&gt;
yearnは、中英語yernen（強く望む）にさかのぼる。ここからほとんど意味が変わっていない。
&lt;span class="spacer"&gt;&lt;/span&gt;［yearn for A］は、Aを強く求めるということを表す。そこから「〜を恋しがる, 〜に憧れる」といった訳になる。&lt;/span&gt;</t>
  </si>
  <si>
    <t>&lt;span class="w"&gt;&lt;b&gt;【850.count for 程度表現：〜の価値を持つ, 〜の重要性を持つ】&lt;/b&gt;&lt;/span&gt;
&lt;span class="ml"&gt;&lt;span class="explanation_tag"&gt;イメージ&lt;/span&gt;
countは「数える, 数に入る」という意味。不要なものとして切り捨てるのではなく、必要なものとしてカウントすることから、何かの「価値を持つ, 重要性を持つ」となる。
&lt;span class="spacer"&gt;&lt;/span&gt;［S count for 程度表現］は、〈程度表現〉の価値があることを表す。
&lt;span class="spacer"&gt;&lt;/span&gt;&lt;span class="explanation_tag"&gt;例&lt;/span&gt;
count for &lt;strong&gt;a lot&lt;/strong&gt;
非常に重要である
&lt;span class="spacer"&gt;&lt;/span&gt;count for &lt;strong&gt;much&lt;/strong&gt;
大きな意味を持つ
&lt;span class="spacer"&gt;&lt;/span&gt;count for &lt;strong&gt;little&lt;/strong&gt;
ほとんど意味を持たない
&lt;span class="spacer"&gt;&lt;/span&gt;count for &lt;strong&gt;nothing&lt;/strong&gt;
全く価値がない
&lt;span class="spacer"&gt;&lt;/span&gt;count for &lt;strong&gt;something&lt;/strong&gt;
多少は意味がある&lt;/span&gt;</t>
  </si>
  <si>
    <t>&lt;span class="w"&gt;&lt;b&gt;【851.cope with ~：〜に対処する】&lt;/b&gt;&lt;/span&gt;
&lt;span class="ml"&gt;&lt;span class="explanation_tag"&gt;語源&lt;/span&gt;
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
&lt;span class="spacer"&gt;&lt;/span&gt;そこから［cope with A］は、「Aに対処する」という意味になる。&lt;/span&gt;</t>
  </si>
  <si>
    <t>&lt;span class="w"&gt;&lt;b&gt;【859.deal in ~：（商品）を取り扱う, 〜を商う】&lt;/b&gt;&lt;/span&gt;
&lt;span class="ml"&gt;&lt;span class="explanation_tag"&gt;語源&lt;/span&gt;
dealは、古英語dælan（分配する）にさかのぼる語。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A］で、Aを商売として扱うビジネスにおいて利益を分配することから、「Aを取り扱う, 商う」という意味になる。&lt;/span&gt;</t>
  </si>
  <si>
    <t>&lt;span class="w"&gt;&lt;b&gt;【861.indulge in ~：思う存分〜する, 〜にふける】&lt;/b&gt;&lt;/span&gt;
&lt;span class="ml"&gt;&lt;span class="explanation_tag"&gt;語源&lt;/span&gt;
indulgeは、ラテン語indulgere（ふける, 身を任せる）に由来する。ラテン語より前の語源は不明だが、inは「否定」を表し、後半部分は「固定される, 身を投じる」といった意味の可能性がある。
&lt;span class="spacer"&gt;&lt;/span&gt;つまり、自分の身や心が何かに固定されることなく解き放たれており、欲望に身を任せることを表す。
&lt;span class="spacer"&gt;&lt;/span&gt;そこから［indulge in A］は、欲望に任せてAの中に身を任せることから、「思う存分Aをする, Aにふける」という意味になる。&lt;/span&gt;</t>
  </si>
  <si>
    <t>&lt;span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さらにこの意味から、商業的な仲間の集まりである「会社」にもなる。&lt;/span&gt;</t>
  </si>
  <si>
    <t>&lt;span class="w"&gt;&lt;b&gt;【247.pain：苦痛, 痛み, （painsで）骨折り】&lt;/b&gt;&lt;/span&gt;
&lt;span class="ml"&gt;ギリシャ語poinē（報復, 刑罰）に由来する。
&lt;span class="spacer"&gt;&lt;/span&gt;古代の報復や刑罰による苦しみが、一般的な意味での「苦痛, 痛み」となる。さらにそこから、苦痛を伴いながら何かを行うという「苦労, 骨折り」という意味にもなる。
&lt;span class="spacer"&gt;&lt;/span&gt;&lt;span class="obsolete"&gt;骨折り：努力した割に疲労しか得られなかった「骨折り損のくたびれ儲け」の「骨折り」と同じ意味。&lt;/span&gt;&lt;/span&gt;</t>
  </si>
  <si>
    <t>&lt;span class="w"&gt;&lt;b&gt;【276.track：跡, 軌道, 鉄道の番線】&lt;/b&gt;&lt;/span&gt;
&lt;span class="ml"&gt;古フランス語trac（馬の足跡, 痕跡）に由来する。
&lt;span class="spacer"&gt;&lt;/span&gt;馬の足跡は馬が通った跡のこと。ここから何かが通ってできた「跡, 軌道」や、鉄道が通る「番線」という意味になる。
&lt;span class="spacer"&gt;&lt;/span&gt;またレース用の陸上トラックや、蓄音機でレコードに跡（溝）をつけて録音した楽曲（トラック）も指す。&lt;/span&gt;</t>
  </si>
  <si>
    <t>fascinateは「対象の注意や関心をくぎ付けにする」イメージ。</t>
  </si>
  <si>
    <t>&lt;span class="w"&gt;&lt;b&gt;【369.do with ~：①（could do with）〜があればありがたい, ②（be / have done with）〜を終わらせた, ③（whatを伴って）〜を対処する】&lt;/b&gt;&lt;/span&gt;
&lt;span class="ml"&gt;&lt;span class="explanation_tag"&gt;イメージ&lt;/span&gt;
［do with A］の核は、「Aを使って何かをする」「Aに対して何かをする」という2つの直訳。この直訳をもとに、それぞれの意味を理解すればよい。
&lt;span class="spacer"&gt;&lt;/span&gt;&lt;span class="explanation_tag"&gt;could do with A&lt;/span&gt;
直訳：Aを使って何かできればなぁ
&lt;span class="arrow"&gt;→&lt;/span&gt;Aがあればなぁ
&lt;span class="arrow"&gt;→&lt;/span&gt;「Aがあればありがたい」
&lt;span class="spacer"&gt;&lt;/span&gt;&lt;span class="explanation_tag"&gt;be / have done with A&lt;/span&gt;
直訳：Aに対して完了させた（done）
&lt;span class="arrow"&gt;→&lt;/span&gt;「Aを終わらせた」
&lt;span class="spacer"&gt;&lt;/span&gt;&lt;span class="explanation_tag"&gt;what ~ do with A&lt;/span&gt;
直訳：Aに対して何をすればよいか
&lt;span class="arrow"&gt;→&lt;/span&gt;「どのようにAに対処するか」
&lt;span class="spacer"&gt;&lt;/span&gt;いずれの意味でも、「Aを使って何かをする」「Aに対して何かをする」という核から理解すればよい。&lt;/span&gt;</t>
  </si>
  <si>
    <t>&lt;span class="w"&gt;&lt;b&gt;【868.work out (~)：①うまくいく, 〜を解決する, （答えや計画）を考え出す, ②運動する】&lt;/b&gt;&lt;/span&gt;
&lt;span class="ml"&gt;&lt;span class="explanation_tag"&gt;イメージ&lt;/span&gt;
［work out］の根本的なイメージは、継続的な労働や努力によって結果を生み出す・達成する・手に入れる感じ。
&lt;span class="spacer"&gt;&lt;/span&gt;①たくさん意味があるが、根本的なイメージを覚えておけばよい。労力をかけたり努力をしたりして（work）結果を生み出す（out）ことから、「うまくいく, 〜を解決する, （答えや計画）を考え出す」といった意味になる。
&lt;span class="spacer"&gt;&lt;/span&gt;②エネルギーを使って（work）力を出す（out）ことが、ボクシングのスパーリング（試合形式の練習）に対して使われたことから発展して、一般的な「運動する」という意味になった。
&lt;span class="spacer"&gt;&lt;/span&gt;&lt;span class="explanation_tag"&gt;補足&lt;/span&gt;
①はwork ~ outの語順にもなる。&lt;/span&gt;</t>
  </si>
  <si>
    <t>&lt;span class="w"&gt;&lt;b&gt;【870.single out ~：〜を（1つだけ）選び出す】&lt;/b&gt;&lt;/span&gt;
&lt;span class="ml"&gt;&lt;span class="explanation_tag"&gt;イメージ&lt;/span&gt;
［single out A］は、シングル（1つ）を外に出すことから、「〜を（1つだけ）選び出す」という意味になる。&lt;/span&gt;</t>
  </si>
  <si>
    <t>&lt;span class="w"&gt;&lt;b&gt;【872.miss out on ~：（機会）を逃す, ～を取り逃す】&lt;/b&gt;&lt;/span&gt;
&lt;span class="ml"&gt;&lt;span class="explanation_tag"&gt;イメージ&lt;/span&gt;
［miss out on A］は、ある機会や利益について（on）、それを得る外側にいて（out）逃すイメージから、「（機会）を逃す, ～を取り逃す」という意味になる。&lt;/span&gt;</t>
    <rPh sb="39" eb="41">
      <t>キカイ</t>
    </rPh>
    <rPh sb="43" eb="44">
      <t>ノガ</t>
    </rPh>
    <rPh sb="49" eb="50">
      <t>ト</t>
    </rPh>
    <rPh sb="51" eb="52">
      <t>ノガ</t>
    </rPh>
    <rPh sb="144" eb="146">
      <t>キカイ</t>
    </rPh>
    <rPh sb="147" eb="149">
      <t>リエキ</t>
    </rPh>
    <rPh sb="161" eb="162">
      <t>エ</t>
    </rPh>
    <rPh sb="163" eb="165">
      <t>ソトガワ</t>
    </rPh>
    <rPh sb="173" eb="174">
      <t>ノガ</t>
    </rPh>
    <rPh sb="202" eb="204">
      <t>イミ</t>
    </rPh>
    <phoneticPr fontId="1"/>
  </si>
  <si>
    <t>&lt;span class="w"&gt;&lt;b&gt;【875.throw up (~)：①〜を投げ上げる, 〜をさっとあげる, ②〜を吐く】&lt;/b&gt;&lt;/span&gt;
&lt;span class="ml"&gt;&lt;span class="explanation_tag"&gt;イメージ&lt;/span&gt;
［throw up (~)］は、上方向に何かを投げる動きをイメージすればよい。そこから物理的に、①何かを「投げ上げる, さっとあげる」という意味になる。
&lt;span class="spacer"&gt;&lt;/span&gt;また物を上に投げるように、胃のなかのものがグッと上がってきて外に出ることから、「〜を吐く」という意味になる。
&lt;span class="spacer"&gt;&lt;/span&gt;&lt;span class="explanation_tag"&gt;補足&lt;/span&gt;
throw ~ upの語順にもなる。&lt;/span&gt;</t>
  </si>
  <si>
    <t>&lt;span class="w"&gt;&lt;b&gt;【878.get away with ~：①（罰を受けずに）〜をうまくやる, ②〜を持ち逃げする】&lt;/b&gt;&lt;/span&gt;
&lt;span class="ml"&gt;&lt;span class="explanation_tag"&gt;イメージ&lt;/span&gt;
［get away with A］は、get away（逃げる）と、with A（Aの状態で, Aを持って）の2つで考えればよい。
&lt;span class="spacer"&gt;&lt;/span&gt;①悪いことをした状況のまま逃げることから、「（罰を受けずに）Aをうまくやる」という意味になる。
&lt;span class="spacer"&gt;&lt;/span&gt;②何かを持ったまま逃げることから、「Aを持ち逃げする」という意味になる。&lt;/span&gt;</t>
  </si>
  <si>
    <t>&lt;span class="w"&gt;&lt;b&gt;【879.shy away (from ~)：（〜を）避ける】&lt;/b&gt;&lt;/span&gt;
&lt;span class="ml"&gt;&lt;span class="explanation_tag"&gt;語源&lt;/span&gt;
動詞shy（避ける）は、日本語でも使われる形容詞shy（シャイ）が表す、人との接触を避ける様子から派生した語。
&lt;span class="spacer"&gt;&lt;/span&gt;&lt;span class="explanation_tag"&gt;イメージ&lt;/span&gt;［shy away (from A)］は、Aから遠ざかって避けるイメージで、「Aを避ける」という意味になる。&lt;/span&gt;</t>
  </si>
  <si>
    <t>&lt;span class="w"&gt;&lt;b&gt;【881.get down to ~：（仕事・問題など）に本気で取りかかる】&lt;/b&gt;&lt;/span&gt;
&lt;span class="ml"&gt;&lt;span class="explanation_tag"&gt;イメージ&lt;/span&gt;
［S get C］は、「SがCの状態になる」を意味する。
&lt;span class="spacer"&gt;&lt;/span&gt;［get down to A］は、Aに向かって（to A）姿勢を低くして構えた状態（down）になる（get）イメージ。これは、本気でAに対して向かうことを表して、「（仕事・問題など）に本気で取りかかる」という意味になる。&lt;/span&gt;</t>
  </si>
  <si>
    <t>&lt;span class="w"&gt;&lt;b&gt;【882.let down ~：〜を失望させる】&lt;/b&gt;&lt;/span&gt;
&lt;span class="ml"&gt;&lt;span class="explanation_tag"&gt;イメージ&lt;/span&gt;
［let down A］は、文字通りの「何かを降ろす」という物理的な意味から、誰かの気持ちや希望を下げるということへと転じて、「〜を失望させる」という意味にもなった。
&lt;span class="spacer"&gt;&lt;/span&gt;&lt;span class="explanation_tag"&gt;補足&lt;/span&gt;
let ~ downの語順にもなる。&lt;/span&gt;</t>
  </si>
  <si>
    <t>&lt;span class="w"&gt;&lt;b&gt;【885.find oneself ~：（気がつくと）〜である】&lt;/b&gt;&lt;/span&gt;
&lt;span class="ml"&gt;&lt;span class="explanation_tag"&gt;イメージ&lt;/span&gt;
［find oneself ~］は、第5文型のfind O Cなので、直訳すると「OがCであると気づく」となる。ここではO＝oneself（自分自身）なので、自分自身の状態に気がつくことを表して、「（気がつくと）〜である」という意味になる。
&lt;span class="spacer"&gt;&lt;/span&gt;「〜」部分には、現在分詞がくれば「気がつくと〜している」、過去分詞がくれば「気がつくと〜されている」となる。&lt;/span&gt;</t>
  </si>
  <si>
    <t>&lt;span class="w"&gt;&lt;b&gt;【887.make good (~)：①成功する, ②（約束など）を果たす, （損害など）を償う】&lt;/b&gt;&lt;/span&gt;
&lt;span class="ml"&gt;&lt;span class="explanation_tag"&gt;イメージ&lt;/span&gt;
このgoodは、「よい」や「完全な」を意味しているとイメージすればよい。
&lt;span class="spacer"&gt;&lt;/span&gt;［make good］は、make O good（Oをよい・完全な状態にする）からOが省かれた形。本来存在しているはずのOは、文脈によって様々。
&lt;span class="spacer"&gt;&lt;/span&gt;人生やキャリアなどをよい状態、完全な状態にする場合は、①「成功する」となる。
&lt;span class="spacer"&gt;&lt;/span&gt;②約束などを完全な状態にするなら「果たす」となり、損害などのマイナスをなくして完全な状態にするなら「償う」となる。&lt;/span&gt;</t>
  </si>
  <si>
    <t>&lt;span class="w"&gt;&lt;b&gt;【889.make believe (that S V)：（〜という）ふりをする】&lt;/b&gt;&lt;/span&gt;
&lt;span class="ml"&gt;&lt;span class="explanation_tag"&gt;イメージ&lt;/span&gt;
 ［make believe (that S V)］は、make O believe that S V（OにS Vであることを信じさせる）からOが省かれた形。自分自身や他人に信じさせることから、「（〜という）ふりをする」という意味になる。
&lt;span class="spacer"&gt;&lt;/span&gt;もともとは子どもたちが使っていた言葉で、日本語で言う「ごっこ遊び」に近かった。
&lt;span class="spacer"&gt;&lt;/span&gt;&lt;span class="explanation_tag"&gt;例&lt;/span&gt;
Let's make believe (that) we are pirates.
私たちが海賊であると自分たちを信じさせよう
＝海賊のふりをしよう&lt;/span&gt;</t>
  </si>
  <si>
    <t>&lt;span class="w"&gt;&lt;b&gt;【890.take ~ for granted / take it for granted that S V ~：〜を当然のことと思う】&lt;/b&gt;&lt;/span&gt;
&lt;span class="ml"&gt;&lt;span class="explanation_tag"&gt;語源&lt;/span&gt;
grantは、ラテン語credere（信じる）に由来する。相手を信用することから発展して、信用に基づいて「許可や権利を与える, 認める」という意味になる。
&lt;span class="spacer"&gt;&lt;/span&gt;grantedは、grantの過去分詞で、「すでに与えられている, 認められている」ことから「当然のもの」という意味になる。
&lt;span class="spacer"&gt;&lt;/span&gt;&lt;span class="explanation_tag"&gt;イメージ&lt;/span&gt;
［take A for granted］は、take A for B（AをBとして受け取る）のBにgrantedが入った形。
&lt;span class="spacer"&gt;&lt;/span&gt;そこから「Aを当然のこととして受け取る」＝「Aを当然のことと思う」という意味になる。&lt;/span&gt;</t>
  </si>
  <si>
    <t>&lt;span class="w"&gt;&lt;b&gt;【891.take ~ into account：〜を考慮に入れる】&lt;/b&gt;&lt;/span&gt;
&lt;span class="ml"&gt;&lt;span class="explanation_tag"&gt;語源&lt;/span&gt;
accountは、古フランス語a（～へ）と、cont（計算）が合わさってできた語。contは、英語のcountや日本語のカウントと同じで計算を意味する。
&lt;span class="spacer"&gt;&lt;/span&gt;このまま日本語にすると「〜への計算」となるが、これは特にお金の計算や、それに関する意味へと発展していく。
&lt;span class="spacer"&gt;&lt;/span&gt;お金のやり取りの計算やそれを記したものから「勘定, 口座」という意味になる。
&lt;span class="spacer"&gt;&lt;/span&gt;&lt;span class="explanation_tag"&gt;イメージ&lt;/span&gt;
［take A into account］は語源から考えると、「Aを計算や勘定に入れる」となる。つまり、結論を出す上でAという要素を計算に入れることから、「Aを考慮する」という意味になる。
&lt;span class="spacer"&gt;&lt;/span&gt;&lt;span class="explanation_tag"&gt;補足&lt;/span&gt;
A部分が長い場合は、［take into account A］という順になる。&lt;/span&gt;</t>
  </si>
  <si>
    <t>&lt;span class="w"&gt;&lt;b&gt;【892.take hold of ~：〜をつかむ】&lt;/b&gt;&lt;/span&gt;
&lt;span class="ml"&gt;&lt;span class="explanation_tag"&gt;イメージ&lt;/span&gt;
［take hold of A］は直訳すると、「Aへの握り・掌握・支配を手に入れる」となる。そこから物理的にガッチリ「つかむ」という意味や、感情が人の心を「つかむ, 支配する」、状況を「つかむ, コントロールする」といった意味になる。&lt;/span&gt;</t>
  </si>
  <si>
    <t>&lt;span class="w"&gt;&lt;b&gt;【894.take effect：①（法などが）施行・実施される, ②（薬などが）効く】&lt;/b&gt;&lt;/span&gt;
&lt;span class="ml"&gt;&lt;span class="explanation_tag"&gt;イメージ&lt;/span&gt;
［take effect］は直訳すると、「効果を取る」となる。これは、現実において何かが効果を発揮することを表す。
&lt;span class="spacer"&gt;&lt;/span&gt;法律やルールなどが効果を発揮するなら、①「施行・実施される」となる。
&lt;span class="spacer"&gt;&lt;/span&gt;薬が体内で効果を発揮するなら、②「効く」という意味になる。&lt;/span&gt;</t>
  </si>
  <si>
    <t>&lt;span class="w"&gt;&lt;b&gt;【895.take pains：骨を折る, 苦労する】&lt;/b&gt;&lt;/span&gt;
&lt;span class="ml"&gt;&lt;span class="explanation_tag"&gt;語源&lt;/span&gt;
painは、ギリシャ語poinē（報復, 刑罰）に由来する。古代の報復や刑罰による苦しみが、一般的な意味での「苦痛, 痛み」となった。さらにそこから、苦痛を伴いながら何かを行うという「苦労, 骨折り」という意味にもなった。
&lt;span class="spacer"&gt;&lt;/span&gt;&lt;span class="obsolete"&gt;骨折り：努力した割に疲労しか得られなかった「骨折り損のくたびれ儲け」の「骨折り」と同じ意味。&lt;/span&gt;
&lt;span class="spacer"&gt;&lt;/span&gt;&lt;span class="explanation_tag"&gt;イメージ&lt;/span&gt;
［take pain&lt;strong&gt;s&lt;/strong&gt;］は、painsが複数形であることを踏まえて直訳すると、目的のための「たくさんの苦労を引き受ける」となる。そこから、目的のために「骨を折る, 苦労する」という、労力を惜しまずに努力することを表す。&lt;/span&gt;</t>
  </si>
  <si>
    <t>&lt;span class="w"&gt;&lt;b&gt;【896.keep track of ~：（記録するなどして）〜を把握する, 〜の跡を追う】&lt;/b&gt;&lt;/span&gt;
&lt;span class="ml"&gt;&lt;span class="explanation_tag"&gt;語源&lt;/span&gt;
trackは、古フランス語trac（馬の足跡, 痕跡）に由来する。馬の足跡は馬が通った跡のこと。ここから何かが通ってできた「跡, 軌道」や、鉄道が通る「番線」という意味になる。
&lt;span class="spacer"&gt;&lt;/span&gt;またレース用の陸上トラックや、蓄音機でレコードに跡（溝）をつけて録音した楽曲（トラック）も指す。
&lt;span class="spacer"&gt;&lt;/span&gt;&lt;span class="explanation_tag"&gt;イメージ&lt;/span&gt;
［keep track of A］は、Aを見失わないように、Aの跡をたどる（keep）という物理的な意味から発展して、情報やお金の流れ、人の動向など様々なことについて、「（記録するなどして）Aを把握する, Aの跡を追う」という意味になる。&lt;/span&gt;</t>
  </si>
  <si>
    <t>&lt;span class="w"&gt;&lt;b&gt;【897.keep ~ company：〜と一緒にいる, 〜の相手をする, （話や買い物など）〜に付き合う】&lt;/b&gt;&lt;/span&gt;
&lt;span class="ml"&gt;&lt;span class="explanation_tag"&gt;語源&lt;/span&gt;
companyは、ラテン語com（共に）と、panis（パン）が合わさってできた語。このまま日本語にすると「共にパン（を食べる）」となる。日本語でも「同じ釜の飯を食う」という言葉があるが、食事を共にするということは「仲間」を表す。さらにこの意味から、商業的な仲間の集まりである「会社」にもなる。
&lt;span class="spacer"&gt;&lt;/span&gt;&lt;span class="explanation_tag"&gt;イメージ&lt;/span&gt;
companyの核は、一緒にパンを食べるように「共にいる」ということ。
&lt;span class="spacer"&gt;&lt;/span&gt;［keep A company］は、keep O Cの第5文型。直訳は語源をもとに考えると、「Aを共にいる状態にキープする」となる。そこから「Aと一緒にいる, Aの相手をする, Aに付き合う」といった訳になる。&lt;/span&gt;</t>
  </si>
  <si>
    <t>&lt;span class="w"&gt;&lt;b&gt;【898.keep abreast of / with ~：（最新の状態など）に遅れずについていく】&lt;/b&gt;&lt;/span&gt;
&lt;span class="ml"&gt;&lt;span class="explanation_tag"&gt;語源&lt;/span&gt;
abreastは、15世紀半ばにon breast（胸を一直線に並べて）が1語になったもの。&lt;span class="obsolete"&gt;onは意味が薄まり、アクセントが置かれずに発音が弱まることでaになることがある。&lt;strong&gt;a&lt;/strong&gt;sleep, &lt;strong&gt;a&lt;/strong&gt;live, &lt;strong&gt;a&lt;/strong&gt;board, &lt;strong&gt;a&lt;/strong&gt;side, &lt;strong&gt;a&lt;/strong&gt;side, &lt;strong&gt;a&lt;/strong&gt;wayなどがその例。&lt;/span&gt;
&lt;span class="spacer"&gt;&lt;/span&gt;［keep abreast］は、1650年代から「最新の状態をキープする」という意味で使われている。
&lt;span class="spacer"&gt;&lt;/span&gt;&lt;span class="explanation_tag"&gt;イメージ&lt;/span&gt;
［keep abreast of / with A］は、時間と共に進んでいく流行・動向・変化などと胸を一直線に並べた状態を保つことから、「（最新の状態など）に遅れずについていく」という意味になる。&lt;/span&gt;</t>
    <rPh sb="50" eb="52">
      <t>サイシン</t>
    </rPh>
    <rPh sb="53" eb="55">
      <t>ジョウタイ</t>
    </rPh>
    <rPh sb="59" eb="60">
      <t>オク</t>
    </rPh>
    <rPh sb="149" eb="151">
      <t>セイキ</t>
    </rPh>
    <rPh sb="151" eb="152">
      <t>ナカ</t>
    </rPh>
    <rPh sb="164" eb="165">
      <t>ムネ</t>
    </rPh>
    <rPh sb="166" eb="169">
      <t>イッチョクセン</t>
    </rPh>
    <rPh sb="170" eb="171">
      <t>ナラ</t>
    </rPh>
    <rPh sb="176" eb="177">
      <t>ゴ</t>
    </rPh>
    <rPh sb="395" eb="396">
      <t>レイ</t>
    </rPh>
    <rPh sb="453" eb="455">
      <t>ネンダイ</t>
    </rPh>
    <rPh sb="458" eb="460">
      <t>サイシン</t>
    </rPh>
    <rPh sb="461" eb="463">
      <t>ジョウタイ</t>
    </rPh>
    <rPh sb="473" eb="475">
      <t>イミ</t>
    </rPh>
    <rPh sb="476" eb="477">
      <t>ツカ</t>
    </rPh>
    <rPh sb="582" eb="584">
      <t>ジカン</t>
    </rPh>
    <rPh sb="585" eb="586">
      <t>トモ</t>
    </rPh>
    <rPh sb="587" eb="588">
      <t>スス</t>
    </rPh>
    <rPh sb="592" eb="594">
      <t>リュウコウ</t>
    </rPh>
    <rPh sb="595" eb="597">
      <t>ドウコウ</t>
    </rPh>
    <rPh sb="598" eb="600">
      <t>ヘンカ</t>
    </rPh>
    <rPh sb="603" eb="604">
      <t>ムネ</t>
    </rPh>
    <rPh sb="605" eb="608">
      <t>イッチョクセン</t>
    </rPh>
    <rPh sb="609" eb="610">
      <t>ナラ</t>
    </rPh>
    <rPh sb="612" eb="614">
      <t>ジョウタイ</t>
    </rPh>
    <rPh sb="615" eb="616">
      <t>タモ</t>
    </rPh>
    <rPh sb="646" eb="648">
      <t>イミ</t>
    </rPh>
    <phoneticPr fontId="1"/>
  </si>
  <si>
    <t>&lt;span class="w"&gt;&lt;b&gt;【899.let go of ~：～を手放す】&lt;/b&gt;&lt;/span&gt;
&lt;span class="ml"&gt;&lt;span class="explanation_tag"&gt;語源&lt;/span&gt;
ofは、古英語æf（離れて）にさかのぼる。もともとofの主要な意味は「離れて」だったが、1200年頃までにoffが生まれ、「離れて」という意味を引き継いだ。
&lt;span class="spacer"&gt;&lt;/span&gt;&lt;span class="explanation_tag"&gt;イメージ&lt;/span&gt;
［let go of A］のofは、古英語の「離れて」という意味が残っている。Aを離して（of A）そのまま行かせる（let go）ことから、「Aを手放す」という意味になる。&lt;/span&gt;</t>
  </si>
  <si>
    <t>&lt;span class="w"&gt;&lt;b&gt;【901.look ~ in the eye(s)：〜の目を正視する】&lt;/b&gt;&lt;/span&gt;
&lt;span class="ml"&gt;&lt;span class="explanation_tag"&gt;イメージ&lt;/span&gt;
［look A in the eye(s)］は、Aに視線を向けて目の中を見るイメージから、「Aのめを正視する」という意味になる。&lt;/span&gt;</t>
  </si>
  <si>
    <t>&lt;span class="w"&gt;&lt;b&gt;【902.hold true：当てはまる, 有効である】&lt;/b&gt;&lt;/span&gt;
&lt;span class="ml"&gt;&lt;span class="explanation_tag"&gt;イメージ&lt;/span&gt;
［hold true］は、true（真実である, 正しい）という状態を保ち続ける、ホールドする（hold）ことから、「当てはまる, 有効である」という意味になる。&lt;/span&gt;</t>
  </si>
  <si>
    <t>&lt;span class="w"&gt;&lt;b&gt;【903.come to terms with ~：〜と折り合いがつく, （あきらめて）〜を受け入れる】&lt;/b&gt;&lt;/span&gt;
&lt;span class="ml"&gt;&lt;span class="explanation_tag"&gt;語源&lt;/span&gt;
term(s)は、ラテン語terminus（終わり,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［come to terms with A］のtermsは、Aとの「関係性, 間柄」だとイメージすればよい。Aときちんと向き合う関係（terms with A）へと至る（come to）ことから、「Aと折り合いがつく, Aを受け入れる」という意味になる。&lt;/span&gt;</t>
  </si>
  <si>
    <t>&lt;span class="w"&gt;&lt;b&gt;【904.come to light：明るみに出る】&lt;/b&gt;&lt;/span&gt;
&lt;span class="ml"&gt;&lt;span class="explanation_tag"&gt;イメージ&lt;/span&gt;
［come to light］は、隠れていたものが明るいところへ来ることから、「明るみに出る」という意味になる。&lt;/span&gt;</t>
  </si>
  <si>
    <t>&lt;span class="w"&gt;&lt;b&gt;【905.come of age：（法的に）成人になる】&lt;/b&gt;&lt;/span&gt;
&lt;span class="ml"&gt;&lt;span class="explanation_tag"&gt;イメージ&lt;/span&gt;
［come of age］のageは「年齢」や「時代」というよりも、もともと持っていた人生の段階・成熟というニュアンスを残している。
&lt;span class="spacer"&gt;&lt;/span&gt;子どもの状態から成熟した大人の段階に至ることを表して、「成人になる」という意味になる。&lt;/span&gt;</t>
  </si>
  <si>
    <t>&lt;span class="w"&gt;&lt;b&gt;【906.come in handy：役に立つ】&lt;/b&gt;&lt;/span&gt;
&lt;span class="ml"&gt;&lt;span class="explanation_tag"&gt;語源&lt;/span&gt;
handyは、1300年頃にhand（手）と、y（形容詞化）が合わさってできた語。手でさっと使えて「便利な, 役立つ」という意味になる。
&lt;span class="spacer"&gt;&lt;/span&gt;日本語でも使われる「ハンディ」と同じ。ハンディファン（手で持つ扇風機）やハンディ掃除機（片手で持てる掃除機）のような便利で役立つものをイメージすればよい。
&lt;span class="spacer"&gt;&lt;/span&gt;&lt;span class="explanation_tag"&gt;イメージ&lt;/span&gt;
［come in handy］は直訳の通り、役に立つ状態の中に（in handy）至る（come）＝「役に立つ」となる。&lt;/span&gt;</t>
  </si>
  <si>
    <t>&lt;span class="w"&gt;&lt;b&gt;【910.put ~ to use：〜を利用する】&lt;/b&gt;&lt;/span&gt;
&lt;span class="ml"&gt;&lt;span class="explanation_tag"&gt;イメージ&lt;/span&gt;
［put A to use］は、既にあるAを使用状態へと移行するイメージで、「Aを利用する」という意味になる。&lt;/span&gt;</t>
  </si>
  <si>
    <t>&lt;span class="w"&gt;&lt;b&gt;【911.stand to reason：理屈に合う, もっともである】&lt;/b&gt;&lt;/span&gt;
&lt;span class="ml"&gt;&lt;span class="explanation_tag"&gt;reasonの語源&lt;/span&gt;
reasonは、ラテン語reri（計算する, 考える）に由来する。この語の核は「論理的な思考」で、もともとは計算することと、考えることの2つを表したが、英語に入ってくるまでに計算系の語と思考系の語に分かれた。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
&lt;span class="spacer"&gt;&lt;/span&gt;&lt;span class="explanation_tag"&gt;stand to reasonの語源&lt;/span&gt;
［stand to reason］は1620年までに見られる表現だが、それより前はstand with reasonが使われていた。
&lt;span class="spacer"&gt;&lt;/span&gt;withを使った古い表現の直訳を考えると、「理性で考えたこと＝理屈・道理とともに立つ」となる。これはつまり、理屈や道理から離れることなく、それに従っていることを表している。
&lt;span class="spacer"&gt;&lt;/span&gt;そこから、［stand to reason］も同様に、理屈・道理に従っている＝「理にかなっている, もっともである」という意味になる。&lt;/span&gt;</t>
  </si>
  <si>
    <t>&lt;span class="w"&gt;&lt;b&gt;【912.see / do the sights (of ~)：（〜の）観光をする】&lt;/b&gt;&lt;/span&gt;
&lt;span class="ml"&gt;&lt;span class="explanation_tag"&gt;イメージ&lt;/span&gt;
sight(s)はseeの名詞なので、核は「見ること, 見えること」。定冠詞のtheで特定され、複数形になったthe sightsは、ある場所にあるいくつかの名所を表す。
&lt;span class="spacer"&gt;&lt;/span&gt;これに動詞see. doが付いた［see / do the sights (of A)］は、「（Aの）観光をする」という意味になる。
&lt;span class="spacer"&gt;&lt;/span&gt;sightseeing（観光）と関連させて覚えるとよい。
&lt;/span&gt;</t>
  </si>
  <si>
    <t>&lt;span class="w"&gt;&lt;b&gt;【913.read between the lines：行間を読む, 真意をつかむ】&lt;/b&gt;&lt;/span&gt;
&lt;span class="ml"&gt;これは直訳のすると、行と行（the lines）の間（between）を読む（read）となり、そのまま「行間を読む, 真意をつかむ」という意味になる。&lt;/span&gt;</t>
  </si>
  <si>
    <t>&lt;span class="w"&gt;&lt;b&gt;【915.play a joke on ~：〜にいたずらをする】&lt;/b&gt;&lt;/span&gt;
&lt;span class="ml"&gt;&lt;span class="explanation_tag"&gt;イメージ&lt;/span&gt;
［play a joke on A］は直訳すると、Aという標的に（on A）ジョーク（joke）を仕掛けて遊ぶ（play）となる。そこから「Aにいたずらをする」という意味になる。&lt;/span&gt;</t>
  </si>
  <si>
    <t>&lt;span class="w"&gt;&lt;b&gt;【916.get on ~'s nerves：〜の神経にさわる】&lt;/b&gt;&lt;/span&gt;
&lt;span class="ml"&gt;&lt;span class="explanation_tag"&gt;イメージ&lt;/span&gt;
［get on A's nerves］は直訳すると、Aの神経（A's nerves）の上に乗る（get on）ことから、「Aの神経にさわる」という意味になる。
&lt;span class="spacer"&gt;&lt;/span&gt;nerve（神経）は、nervous（神経質な, 神経が張り詰めて緊張した）と関連させて覚える。&lt;/span&gt;</t>
  </si>
  <si>
    <t>&lt;span class="w"&gt;&lt;b&gt;【919.hold / keep ~ in check：〜を抑える】&lt;/b&gt;&lt;/span&gt;
&lt;span class="ml"&gt;&lt;span class="explanation_tag"&gt;語源&lt;/span&gt;
checkは、もともとチェスの用語であり、相手のキングを取ることができるチェックメイト状態を表した。これは将棋で言えば、王手を意味する。
&lt;span class="spacer"&gt;&lt;/span&gt;チェックメイト状態になると、キングを取られないような動きしかできなくなり、思考や取れる選択肢が著しく制限されることから、「抑制」や「阻止」という概念へと発展した。
&lt;span class="spacer"&gt;&lt;/span&gt;&lt;span class="explanation_tag"&gt;イメージ&lt;/span&gt;
［hold / keep A in check］は語源的に考えると、Aをチェックメイト状態＝抑制された状態に保つことを表す。そこから、「Aを抑える」という意味になる。&lt;/span&gt;</t>
  </si>
  <si>
    <t>&lt;span class="w"&gt;&lt;b&gt;【920.have an eye for ~：〜を見る目がある】&lt;/b&gt;&lt;/span&gt;
&lt;span class="ml"&gt;&lt;span class="explanation_tag"&gt;イメージ&lt;/span&gt;
［have an eye for A］のeyeは、視覚を通して物事を正しく評価する能力＝見る目を表す。そこから、「Aを見る目がある」という意味になる。&lt;/span&gt;</t>
  </si>
  <si>
    <t>&lt;span class="w"&gt;&lt;b&gt;【921.have ~ on one's mind：〜を気にかけている】&lt;/b&gt;&lt;/span&gt;
&lt;span class="ml"&gt;&lt;span class="explanation_tag"&gt;イメージ&lt;/span&gt;
［have A on one's mind］は直訳すると、自分の心や意識にくっついた状態（on one's mind）のAを持っていることを表すので、「Aを気にかけている」という意味になる。&lt;/span&gt;</t>
  </si>
  <si>
    <t>&lt;span class="w"&gt;&lt;b&gt;【922.have yet to do：まだ〜していない, これから〜しなければならない】&lt;/b&gt;&lt;/span&gt;
&lt;span class="ml"&gt;&lt;span class="explanation_tag"&gt;イメージ&lt;/span&gt;
［have yet to do］は、have to doにyetが入り込んだものだと考えればよい。まだ〜しなければならない状態であることを表すので、「これから〜しなければならない」「まだ〜していない」という訳になる。&lt;/span&gt;</t>
  </si>
  <si>
    <t>&lt;span class="w"&gt;&lt;b&gt;【923.dare to do：思い切って〜する, あえて〜する】&lt;/b&gt;&lt;/span&gt;
&lt;span class="ml"&gt;&lt;span class="explanation_tag"&gt;語源&lt;/span&gt;
dareは、印欧祖語*dhers-（大胆な, 勇敢な）にさかのぼると考えられる。
&lt;span class="spacer"&gt;&lt;/span&gt;［dare to do］は、doに対して勇敢に進んでいくことから、「思い切って〜する, あえて〜する」という意味になる。
&lt;span class="spacer"&gt;&lt;/span&gt;&lt;span class="explanation_tag"&gt;補足&lt;/span&gt;
dareには助動詞としての使い方もある。その場合は、S dare not do / How dare S doといった表現になる。&lt;/span&gt;</t>
  </si>
  <si>
    <t>&lt;span class="w"&gt;&lt;b&gt;【924.impose A on B：AをBに課す, AをBに押し付ける】&lt;/b&gt;&lt;/span&gt;
&lt;span class="ml"&gt;&lt;span class="explanation_tag"&gt;語源&lt;/span&gt;
imposeは、古フランス語in（中に）と、poser（置く）が合わさってできた語。相手の領域の中に押し込んで置くイメージから、対象に何かを「押し付ける, 課す」という意味になる。
&lt;span class="spacer"&gt;&lt;/span&gt;［impose A on B］は、AをBにグッと押しつけて接触するように置くイメージから、「AをBに課す, AをBに押し付ける」という意味になる。&lt;/span&gt;</t>
  </si>
  <si>
    <t>a piece of 不可算名詞</t>
    <phoneticPr fontId="1"/>
  </si>
  <si>
    <t>a couple (of ~)</t>
    <phoneticPr fontId="1"/>
  </si>
  <si>
    <t>&lt;span class="w"&gt;&lt;b&gt;【2.a couple (of ~)：2つの～, 2,3の～, ちょっとの】&lt;/b&gt;&lt;/span&gt;
&lt;span class="ml"&gt;&lt;span class="explanation_tag"&gt;イメージ&lt;/span&gt;
夫婦・カップル（＝2人）と同じで「2つの」という意味になる。また数が少し曖昧になって「2、3の」や「ちょっとの」という意味にもなる。&lt;/span&gt;</t>
    <phoneticPr fontId="1"/>
  </si>
  <si>
    <t>a number of 可算名詞</t>
    <phoneticPr fontId="1"/>
  </si>
  <si>
    <t>dozens of ~</t>
    <phoneticPr fontId="1"/>
  </si>
  <si>
    <t>plenty of ~</t>
    <phoneticPr fontId="1"/>
  </si>
  <si>
    <t>a great / good deal of 不可算名詞</t>
    <phoneticPr fontId="1"/>
  </si>
  <si>
    <t>at home</t>
    <phoneticPr fontId="1"/>
  </si>
  <si>
    <t>in time</t>
    <phoneticPr fontId="1"/>
  </si>
  <si>
    <t>in fashion</t>
    <phoneticPr fontId="1"/>
  </si>
  <si>
    <t>on time</t>
    <phoneticPr fontId="1"/>
  </si>
  <si>
    <t>on duty</t>
    <phoneticPr fontId="1"/>
  </si>
  <si>
    <t>on schedule</t>
    <phoneticPr fontId="1"/>
  </si>
  <si>
    <t>up to date</t>
    <phoneticPr fontId="1"/>
  </si>
  <si>
    <t>be aware of ~</t>
    <phoneticPr fontId="1"/>
  </si>
  <si>
    <t>be made of A</t>
    <phoneticPr fontId="1"/>
  </si>
  <si>
    <t>be capable of ~</t>
    <phoneticPr fontId="1"/>
  </si>
  <si>
    <t>be afraid of ~</t>
    <phoneticPr fontId="1"/>
  </si>
  <si>
    <t>be sure of / about ~</t>
    <phoneticPr fontId="1"/>
  </si>
  <si>
    <t>be composed of ~</t>
    <phoneticPr fontId="1"/>
  </si>
  <si>
    <t>be based on / upon ~</t>
    <phoneticPr fontId="1"/>
  </si>
  <si>
    <t>&lt;span class="w"&gt;&lt;b&gt;【20.be based on / upon ~：～にもとづいている】&lt;/b&gt;&lt;/span&gt;
&lt;span class="ml"&gt;&lt;span class="explanation_tag"&gt;イメージ&lt;/span&gt;
名詞baseは「基礎, 土台」という意味。動詞baseは［base A on B］で「AをBにもとづかせる」という意味になる。
&lt;span class="spacer"&gt;&lt;/span&gt;これを受動態にすれば、［A be based on B］で「AはBにもとづいている」という意味になる。&lt;/span&gt;</t>
    <phoneticPr fontId="1"/>
  </si>
  <si>
    <t>be different from ~</t>
    <phoneticPr fontId="1"/>
  </si>
  <si>
    <t>be absent from ~</t>
    <phoneticPr fontId="1"/>
  </si>
  <si>
    <t>be engaged in ~</t>
    <phoneticPr fontId="1"/>
  </si>
  <si>
    <t>be responsible for 物事 / to 人</t>
    <phoneticPr fontId="1"/>
  </si>
  <si>
    <t>be married（to ~）</t>
    <phoneticPr fontId="1"/>
  </si>
  <si>
    <t>be satisfied with ~</t>
    <phoneticPr fontId="1"/>
  </si>
  <si>
    <t>be curious about ~</t>
    <phoneticPr fontId="1"/>
  </si>
  <si>
    <t>be well off</t>
    <phoneticPr fontId="1"/>
  </si>
  <si>
    <t>be likely to do ~</t>
    <phoneticPr fontId="1"/>
  </si>
  <si>
    <t>be willing to do ~</t>
    <phoneticPr fontId="1"/>
  </si>
  <si>
    <t>be about to do ~</t>
    <phoneticPr fontId="1"/>
  </si>
  <si>
    <t>lead to ~</t>
    <phoneticPr fontId="1"/>
  </si>
  <si>
    <t>refer to ~</t>
    <phoneticPr fontId="1"/>
  </si>
  <si>
    <t>contribute to ~</t>
    <phoneticPr fontId="1"/>
  </si>
  <si>
    <t>amount to ~</t>
    <phoneticPr fontId="1"/>
  </si>
  <si>
    <t>depend on / upon ~</t>
    <phoneticPr fontId="1"/>
  </si>
  <si>
    <t>focus on ~</t>
    <phoneticPr fontId="1"/>
  </si>
  <si>
    <t>rely on / upon ~</t>
    <phoneticPr fontId="1"/>
  </si>
  <si>
    <t>get on ~</t>
    <phoneticPr fontId="1"/>
  </si>
  <si>
    <t>insist on / upon ~</t>
    <phoneticPr fontId="1"/>
  </si>
  <si>
    <t>concentrate on ~</t>
    <phoneticPr fontId="1"/>
  </si>
  <si>
    <t>look for ~</t>
    <phoneticPr fontId="1"/>
  </si>
  <si>
    <t>search for ~</t>
    <phoneticPr fontId="1"/>
  </si>
  <si>
    <t>prepare for ~</t>
    <phoneticPr fontId="1"/>
  </si>
  <si>
    <t>think of ~</t>
    <phoneticPr fontId="1"/>
  </si>
  <si>
    <t>consist of ~</t>
    <phoneticPr fontId="1"/>
  </si>
  <si>
    <t>complain of / about ~</t>
    <phoneticPr fontId="1"/>
  </si>
  <si>
    <t>die of / from ~</t>
    <phoneticPr fontId="1"/>
  </si>
  <si>
    <t>suffer from ~</t>
    <phoneticPr fontId="1"/>
  </si>
  <si>
    <t>result from ~</t>
    <phoneticPr fontId="1"/>
  </si>
  <si>
    <t>graduate from ~</t>
    <phoneticPr fontId="1"/>
  </si>
  <si>
    <t>differ from ~</t>
    <phoneticPr fontId="1"/>
  </si>
  <si>
    <t>recover from ~</t>
    <phoneticPr fontId="1"/>
  </si>
  <si>
    <t>hear from ~</t>
    <phoneticPr fontId="1"/>
  </si>
  <si>
    <t>believe in ~</t>
    <phoneticPr fontId="1"/>
  </si>
  <si>
    <t>succeed in ~</t>
    <phoneticPr fontId="1"/>
  </si>
  <si>
    <t>major in ~</t>
    <phoneticPr fontId="1"/>
  </si>
  <si>
    <t>abound in / with ~</t>
    <phoneticPr fontId="1"/>
  </si>
  <si>
    <t>care about ~</t>
    <phoneticPr fontId="1"/>
  </si>
  <si>
    <t>bring about ~</t>
    <phoneticPr fontId="1"/>
  </si>
  <si>
    <t>deal with ~</t>
    <phoneticPr fontId="1"/>
  </si>
  <si>
    <t>go through ~</t>
    <phoneticPr fontId="1"/>
  </si>
  <si>
    <t>give up ~</t>
    <phoneticPr fontId="1"/>
  </si>
  <si>
    <t>grow up</t>
    <phoneticPr fontId="1"/>
  </si>
  <si>
    <t>pick up ~</t>
    <phoneticPr fontId="1"/>
  </si>
  <si>
    <t>set up ~</t>
    <phoneticPr fontId="1"/>
  </si>
  <si>
    <t>wake up (~)</t>
    <phoneticPr fontId="1"/>
  </si>
  <si>
    <t>brush up (on ~)</t>
    <phoneticPr fontId="1"/>
  </si>
  <si>
    <t>find out ~</t>
    <phoneticPr fontId="1"/>
  </si>
  <si>
    <t>carry out ~</t>
    <phoneticPr fontId="1"/>
  </si>
  <si>
    <t>point out ~</t>
    <phoneticPr fontId="1"/>
  </si>
  <si>
    <t>figure out ~</t>
    <phoneticPr fontId="1"/>
  </si>
  <si>
    <t>turn out ~</t>
    <phoneticPr fontId="1"/>
  </si>
  <si>
    <t>fill out ~</t>
    <phoneticPr fontId="1"/>
  </si>
  <si>
    <t>pick out ~</t>
    <phoneticPr fontId="1"/>
  </si>
  <si>
    <t>put on ~</t>
    <phoneticPr fontId="1"/>
  </si>
  <si>
    <t>work on ~</t>
    <phoneticPr fontId="1"/>
  </si>
  <si>
    <t>try on ~</t>
    <phoneticPr fontId="1"/>
  </si>
  <si>
    <t>turn on ~</t>
    <phoneticPr fontId="1"/>
  </si>
  <si>
    <t>turn off ~</t>
    <phoneticPr fontId="1"/>
  </si>
  <si>
    <t>take off ~</t>
    <phoneticPr fontId="1"/>
  </si>
  <si>
    <t>get along</t>
    <phoneticPr fontId="1"/>
  </si>
  <si>
    <t>get together</t>
    <phoneticPr fontId="1"/>
  </si>
  <si>
    <t>calm down</t>
    <phoneticPr fontId="1"/>
  </si>
  <si>
    <t>think over ~</t>
    <phoneticPr fontId="1"/>
  </si>
  <si>
    <t>keep doing</t>
    <phoneticPr fontId="1"/>
  </si>
  <si>
    <t>take place</t>
    <phoneticPr fontId="1"/>
  </si>
  <si>
    <t>play a role / part （in ~）</t>
    <phoneticPr fontId="1"/>
  </si>
  <si>
    <t>make sure（~）</t>
    <phoneticPr fontId="1"/>
  </si>
  <si>
    <t>make sense</t>
    <phoneticPr fontId="1"/>
  </si>
  <si>
    <t>make a difference</t>
    <phoneticPr fontId="1"/>
  </si>
  <si>
    <t>make a mistake</t>
    <phoneticPr fontId="1"/>
  </si>
  <si>
    <t>make progress</t>
    <phoneticPr fontId="1"/>
  </si>
  <si>
    <t>make up one's mind</t>
    <phoneticPr fontId="1"/>
  </si>
  <si>
    <t>do one's best</t>
    <phoneticPr fontId="1"/>
  </si>
  <si>
    <t>keep one's promise / word</t>
    <phoneticPr fontId="1"/>
  </si>
  <si>
    <t>get lost</t>
    <phoneticPr fontId="1"/>
  </si>
  <si>
    <t>enjoy oneself</t>
    <phoneticPr fontId="1"/>
  </si>
  <si>
    <t>have ~ off</t>
    <phoneticPr fontId="1"/>
  </si>
  <si>
    <t>pay attention to ~</t>
    <phoneticPr fontId="1"/>
  </si>
  <si>
    <t>take care of ~</t>
    <phoneticPr fontId="1"/>
  </si>
  <si>
    <t>look forward to 名詞 / 動名詞</t>
    <phoneticPr fontId="1"/>
  </si>
  <si>
    <t>ask for ~</t>
    <phoneticPr fontId="1"/>
  </si>
  <si>
    <t>&lt;span class="w"&gt;&lt;b&gt;【103.ask for ~：〜を求める】&lt;/b&gt;&lt;/span&gt;
&lt;span class="ml"&gt;&lt;span class="explanation_tag"&gt;イメージ&lt;/span&gt;
何かを求めて（for）頼む（ask）ことから「〜を求める」という意味になる。&lt;/span&gt;</t>
    <phoneticPr fontId="1"/>
  </si>
  <si>
    <t>get rid of ~</t>
    <phoneticPr fontId="1"/>
  </si>
  <si>
    <t>&lt;span class="w"&gt;&lt;b&gt;【104.get rid of ~：～を取り除く】&lt;/b&gt;&lt;/span&gt;
&lt;span class="ml"&gt;&lt;span class="explanation_tag"&gt;語源&lt;/span&gt;
ridは、中英語ridden（場所を片付ける, 空にする）にさかのぼり、［get rid of］は1660年代から見られる表現。
&lt;span class="spacer"&gt;&lt;/span&gt;&lt;span class="explanation_tag"&gt;イメージ&lt;/span&gt;
場所を片付ける・空にするように、Aのない状態（rid）にする（get）ことから「Aを取り除く」という意味になる。&lt;/span&gt;</t>
    <phoneticPr fontId="1"/>
  </si>
  <si>
    <t>fall in love with ~</t>
    <phoneticPr fontId="1"/>
  </si>
  <si>
    <t>used to do / be</t>
    <phoneticPr fontId="1"/>
  </si>
  <si>
    <t>as a result （of A）</t>
    <phoneticPr fontId="1"/>
  </si>
  <si>
    <t>at times</t>
    <phoneticPr fontId="1"/>
  </si>
  <si>
    <t>in addition（to 名詞）</t>
    <phoneticPr fontId="1"/>
  </si>
  <si>
    <t>in search of ~</t>
    <phoneticPr fontId="1"/>
  </si>
  <si>
    <t>so 形容詞 / 副詞 that S V</t>
    <phoneticPr fontId="1"/>
  </si>
  <si>
    <t>not only A but (also) B</t>
    <phoneticPr fontId="1"/>
  </si>
  <si>
    <t>as if / though ~</t>
    <phoneticPr fontId="1"/>
  </si>
  <si>
    <t>as soon as S V</t>
    <phoneticPr fontId="1"/>
  </si>
  <si>
    <t>bring up ~</t>
    <phoneticPr fontId="1"/>
  </si>
  <si>
    <t>call off ~</t>
    <phoneticPr fontId="1"/>
  </si>
  <si>
    <t>carry on (~)</t>
    <phoneticPr fontId="1"/>
  </si>
  <si>
    <t>come up with ~</t>
    <phoneticPr fontId="1"/>
  </si>
  <si>
    <t>do away with ~</t>
    <phoneticPr fontId="1"/>
  </si>
  <si>
    <t>人 pass away</t>
    <phoneticPr fontId="1"/>
  </si>
  <si>
    <t>put off ~</t>
    <phoneticPr fontId="1"/>
  </si>
  <si>
    <t>take after〈人〉</t>
    <phoneticPr fontId="1"/>
  </si>
  <si>
    <t>along with ~</t>
    <phoneticPr fontId="1"/>
  </si>
  <si>
    <t>in connection with ~</t>
    <phoneticPr fontId="1"/>
  </si>
  <si>
    <t>on board (~)</t>
    <phoneticPr fontId="1"/>
  </si>
  <si>
    <t>prior to ~</t>
    <phoneticPr fontId="1"/>
  </si>
  <si>
    <t>(every) once in a while</t>
    <phoneticPr fontId="1"/>
  </si>
  <si>
    <t>above all (else)</t>
    <phoneticPr fontId="1"/>
  </si>
  <si>
    <t>all of a sudden</t>
    <phoneticPr fontId="1"/>
  </si>
  <si>
    <t>all / just the same</t>
    <phoneticPr fontId="1"/>
  </si>
  <si>
    <t>as a (general) rule</t>
    <phoneticPr fontId="1"/>
  </si>
  <si>
    <t>as well</t>
    <phoneticPr fontId="1"/>
  </si>
  <si>
    <t>before long</t>
    <phoneticPr fontId="1"/>
  </si>
  <si>
    <t>by degrees</t>
    <phoneticPr fontId="1"/>
  </si>
  <si>
    <t>for good</t>
    <phoneticPr fontId="1"/>
  </si>
  <si>
    <t>for the most part</t>
    <phoneticPr fontId="1"/>
  </si>
  <si>
    <t>from time to time</t>
    <phoneticPr fontId="1"/>
  </si>
  <si>
    <t>in advance</t>
    <phoneticPr fontId="1"/>
  </si>
  <si>
    <t>in all</t>
    <phoneticPr fontId="1"/>
  </si>
  <si>
    <t>in particular</t>
    <phoneticPr fontId="1"/>
  </si>
  <si>
    <t>on occasion(s)</t>
    <phoneticPr fontId="1"/>
  </si>
  <si>
    <t>on purpose</t>
    <phoneticPr fontId="1"/>
  </si>
  <si>
    <t>over and over (again)</t>
    <phoneticPr fontId="1"/>
  </si>
  <si>
    <t>right away</t>
    <phoneticPr fontId="1"/>
  </si>
  <si>
    <t>agree to ~</t>
    <phoneticPr fontId="1"/>
  </si>
  <si>
    <t>agree with ~</t>
    <phoneticPr fontId="1"/>
  </si>
  <si>
    <t>apply for ~</t>
    <phoneticPr fontId="1"/>
  </si>
  <si>
    <t>apply to ~</t>
    <phoneticPr fontId="1"/>
  </si>
  <si>
    <t>remember doing</t>
    <phoneticPr fontId="1"/>
  </si>
  <si>
    <t>remember to do</t>
    <phoneticPr fontId="1"/>
  </si>
  <si>
    <t>catch up with / to ~</t>
    <phoneticPr fontId="1"/>
  </si>
  <si>
    <t>keep pace with ~</t>
    <phoneticPr fontId="1"/>
  </si>
  <si>
    <t>keep up with ~</t>
    <phoneticPr fontId="1"/>
  </si>
  <si>
    <t>leave ~ alone</t>
    <phoneticPr fontId="1"/>
  </si>
  <si>
    <t>let alone ~</t>
    <phoneticPr fontId="1"/>
  </si>
  <si>
    <t>correspond to ~</t>
    <phoneticPr fontId="1"/>
  </si>
  <si>
    <t>correspond with ~</t>
    <phoneticPr fontId="1"/>
  </si>
  <si>
    <t>〈人〉hit on〈考え〉</t>
    <phoneticPr fontId="1"/>
  </si>
  <si>
    <t>〈考え〉occur to〈人〉</t>
    <phoneticPr fontId="1"/>
  </si>
  <si>
    <t>〈考え〉dawn on〈人〉</t>
    <phoneticPr fontId="1"/>
  </si>
  <si>
    <t>make the best of ~</t>
    <phoneticPr fontId="1"/>
  </si>
  <si>
    <t>make the most of ~</t>
    <phoneticPr fontId="1"/>
  </si>
  <si>
    <t>lay off ~</t>
    <phoneticPr fontId="1"/>
  </si>
  <si>
    <t>lay out ~</t>
    <phoneticPr fontId="1"/>
  </si>
  <si>
    <t>be concerned about / for ~</t>
    <phoneticPr fontId="1"/>
  </si>
  <si>
    <t>be concerned with ~</t>
    <phoneticPr fontId="1"/>
  </si>
  <si>
    <t>be free from / of ~</t>
    <phoneticPr fontId="1"/>
  </si>
  <si>
    <t>be free to do</t>
    <phoneticPr fontId="1"/>
  </si>
  <si>
    <t>be familiar to ~</t>
    <phoneticPr fontId="1"/>
  </si>
  <si>
    <t>be familiar with ~</t>
    <phoneticPr fontId="1"/>
  </si>
  <si>
    <t>be true of ~</t>
    <phoneticPr fontId="1"/>
  </si>
  <si>
    <t>be true to ~</t>
    <phoneticPr fontId="1"/>
  </si>
  <si>
    <t>be tired from / with ~</t>
    <phoneticPr fontId="1"/>
  </si>
  <si>
    <t>be tired of ~</t>
    <phoneticPr fontId="1"/>
  </si>
  <si>
    <t>be bound for ~</t>
    <phoneticPr fontId="1"/>
  </si>
  <si>
    <t>be bound to do</t>
    <phoneticPr fontId="1"/>
  </si>
  <si>
    <t>be anxious about ~</t>
    <phoneticPr fontId="1"/>
  </si>
  <si>
    <t>be anxious to do</t>
    <phoneticPr fontId="1"/>
  </si>
  <si>
    <t>〈名詞〉to come</t>
    <phoneticPr fontId="1"/>
  </si>
  <si>
    <t>〈名詞〉to go</t>
    <phoneticPr fontId="1"/>
  </si>
  <si>
    <t>anything but ~</t>
    <phoneticPr fontId="1"/>
  </si>
  <si>
    <t>nothing but ~</t>
    <phoneticPr fontId="1"/>
  </si>
  <si>
    <t>at first</t>
    <phoneticPr fontId="1"/>
  </si>
  <si>
    <t>for the first time</t>
    <phoneticPr fontId="1"/>
  </si>
  <si>
    <t>in the way (of ~)</t>
    <phoneticPr fontId="1"/>
  </si>
  <si>
    <t>on the way (to ~)</t>
    <phoneticPr fontId="1"/>
  </si>
  <si>
    <t>by now</t>
    <phoneticPr fontId="1"/>
  </si>
  <si>
    <t>for now</t>
    <phoneticPr fontId="1"/>
  </si>
  <si>
    <t>on the contrary</t>
    <phoneticPr fontId="1"/>
  </si>
  <si>
    <t>to the contrary</t>
    <phoneticPr fontId="1"/>
  </si>
  <si>
    <t>in the air</t>
    <phoneticPr fontId="1"/>
  </si>
  <si>
    <t>on the air</t>
    <phoneticPr fontId="1"/>
  </si>
  <si>
    <t>by chance</t>
    <phoneticPr fontId="1"/>
  </si>
  <si>
    <t>by any chance</t>
    <phoneticPr fontId="1"/>
  </si>
  <si>
    <t>as a matter of course</t>
    <phoneticPr fontId="1"/>
  </si>
  <si>
    <t>as a matter of fact</t>
    <phoneticPr fontId="1"/>
  </si>
  <si>
    <t>at a distance</t>
    <phoneticPr fontId="1"/>
  </si>
  <si>
    <t>in the distance</t>
    <phoneticPr fontId="1"/>
  </si>
  <si>
    <t>inside out</t>
    <phoneticPr fontId="1"/>
  </si>
  <si>
    <t>upside down</t>
    <phoneticPr fontId="1"/>
  </si>
  <si>
    <t>provide A with B</t>
    <phoneticPr fontId="1"/>
  </si>
  <si>
    <t>supply A with B</t>
    <phoneticPr fontId="1"/>
  </si>
  <si>
    <t>mistake A for B</t>
    <phoneticPr fontId="1"/>
  </si>
  <si>
    <t>take A for B</t>
    <phoneticPr fontId="1"/>
  </si>
  <si>
    <t>look on / upon A as B</t>
    <phoneticPr fontId="1"/>
  </si>
  <si>
    <t>think of A as B</t>
    <phoneticPr fontId="1"/>
  </si>
  <si>
    <t>distinguish A from B</t>
    <phoneticPr fontId="1"/>
  </si>
  <si>
    <t>tell A from B</t>
    <phoneticPr fontId="1"/>
  </si>
  <si>
    <t>participate in ~</t>
    <phoneticPr fontId="1"/>
  </si>
  <si>
    <t>take part in ~</t>
    <phoneticPr fontId="1"/>
  </si>
  <si>
    <t>make up (~)</t>
    <phoneticPr fontId="1"/>
  </si>
  <si>
    <t>care for ~</t>
    <phoneticPr fontId="1"/>
  </si>
  <si>
    <t>look after ~</t>
    <phoneticPr fontId="1"/>
  </si>
  <si>
    <t>show up (~)</t>
    <phoneticPr fontId="1"/>
  </si>
  <si>
    <t>turn up (~)</t>
    <phoneticPr fontId="1"/>
  </si>
  <si>
    <t>consist in ~</t>
    <phoneticPr fontId="1"/>
  </si>
  <si>
    <t>lie in ~</t>
    <phoneticPr fontId="1"/>
  </si>
  <si>
    <t>give in (~)</t>
    <phoneticPr fontId="1"/>
  </si>
  <si>
    <t>give way (to ~)</t>
    <phoneticPr fontId="1"/>
  </si>
  <si>
    <t>stand out</t>
    <phoneticPr fontId="1"/>
  </si>
  <si>
    <t>stick out</t>
    <phoneticPr fontId="1"/>
  </si>
  <si>
    <t>cling to ~</t>
    <phoneticPr fontId="1"/>
  </si>
  <si>
    <t>stick to ~</t>
    <phoneticPr fontId="1"/>
  </si>
  <si>
    <t>count on / upon ~</t>
    <phoneticPr fontId="1"/>
  </si>
  <si>
    <t>rest on / upon ~</t>
    <phoneticPr fontId="1"/>
  </si>
  <si>
    <t>look out (for ~)</t>
    <phoneticPr fontId="1"/>
  </si>
  <si>
    <t>watch out (for ~)</t>
    <phoneticPr fontId="1"/>
  </si>
  <si>
    <t>hand over ~</t>
    <phoneticPr fontId="1"/>
  </si>
  <si>
    <t>turn over ~</t>
    <phoneticPr fontId="1"/>
  </si>
  <si>
    <t>date back to ~</t>
    <phoneticPr fontId="1"/>
  </si>
  <si>
    <t xml:space="preserve">date from ~ </t>
    <phoneticPr fontId="1"/>
  </si>
  <si>
    <t>put aside ~</t>
    <phoneticPr fontId="1"/>
  </si>
  <si>
    <t>set aside ~</t>
    <phoneticPr fontId="1"/>
  </si>
  <si>
    <t>sit up</t>
    <phoneticPr fontId="1"/>
  </si>
  <si>
    <t>stay up</t>
    <phoneticPr fontId="1"/>
  </si>
  <si>
    <t>hold back ~</t>
    <phoneticPr fontId="1"/>
  </si>
  <si>
    <t>keep back ~</t>
    <phoneticPr fontId="1"/>
  </si>
  <si>
    <t>feel sorry for ~</t>
    <phoneticPr fontId="1"/>
  </si>
  <si>
    <t>take / have pity on ~</t>
    <phoneticPr fontId="1"/>
  </si>
  <si>
    <t>sympathize with ~</t>
    <phoneticPr fontId="1"/>
  </si>
  <si>
    <t>take pride in ~</t>
    <phoneticPr fontId="1"/>
  </si>
  <si>
    <t>pride oneself on ~</t>
    <phoneticPr fontId="1"/>
  </si>
  <si>
    <t>surrender to ~</t>
    <phoneticPr fontId="1"/>
  </si>
  <si>
    <t>yield to ~</t>
    <phoneticPr fontId="1"/>
  </si>
  <si>
    <t>be essential to ~</t>
    <phoneticPr fontId="1"/>
  </si>
  <si>
    <t>be indispensable to / for ~</t>
    <phoneticPr fontId="1"/>
  </si>
  <si>
    <t>be equal to ~</t>
    <phoneticPr fontId="1"/>
  </si>
  <si>
    <t>be equivalent to ~</t>
    <phoneticPr fontId="1"/>
  </si>
  <si>
    <t>be apt to do</t>
    <phoneticPr fontId="1"/>
  </si>
  <si>
    <t>be inclined to do</t>
    <phoneticPr fontId="1"/>
  </si>
  <si>
    <t>in a sense</t>
    <phoneticPr fontId="1"/>
  </si>
  <si>
    <t>in a way</t>
    <phoneticPr fontId="1"/>
  </si>
  <si>
    <t>first of all</t>
    <phoneticPr fontId="1"/>
  </si>
  <si>
    <t>in the first place</t>
    <phoneticPr fontId="1"/>
  </si>
  <si>
    <t>back and forth</t>
    <phoneticPr fontId="1"/>
  </si>
  <si>
    <t>up and down</t>
    <phoneticPr fontId="1"/>
  </si>
  <si>
    <t>at present</t>
    <phoneticPr fontId="1"/>
  </si>
  <si>
    <t>at the moment</t>
    <phoneticPr fontId="1"/>
  </si>
  <si>
    <t>in a word</t>
    <phoneticPr fontId="1"/>
  </si>
  <si>
    <t>in short</t>
    <phoneticPr fontId="1"/>
  </si>
  <si>
    <t>generally speaking</t>
    <phoneticPr fontId="1"/>
  </si>
  <si>
    <t>on the whole</t>
    <phoneticPr fontId="1"/>
  </si>
  <si>
    <t>all in all</t>
    <phoneticPr fontId="1"/>
  </si>
  <si>
    <t>in principle</t>
    <phoneticPr fontId="1"/>
  </si>
  <si>
    <t>in theory</t>
    <phoneticPr fontId="1"/>
  </si>
  <si>
    <t>at all costs / at any cost</t>
    <phoneticPr fontId="1"/>
  </si>
  <si>
    <t>by all means</t>
    <phoneticPr fontId="1"/>
  </si>
  <si>
    <t>as it were</t>
    <phoneticPr fontId="1"/>
  </si>
  <si>
    <t>so to speak / say</t>
    <phoneticPr fontId="1"/>
  </si>
  <si>
    <t>for one's own part</t>
    <phoneticPr fontId="1"/>
  </si>
  <si>
    <t>on one's part</t>
    <phoneticPr fontId="1"/>
  </si>
  <si>
    <t>for the present</t>
    <phoneticPr fontId="1"/>
  </si>
  <si>
    <t>for the time being</t>
    <phoneticPr fontId="1"/>
  </si>
  <si>
    <t>close / near at hand</t>
    <phoneticPr fontId="1"/>
  </si>
  <si>
    <t>(just) around the corner</t>
    <phoneticPr fontId="1"/>
  </si>
  <si>
    <t>for all ~</t>
    <phoneticPr fontId="1"/>
  </si>
  <si>
    <t>with all ~</t>
    <phoneticPr fontId="1"/>
  </si>
  <si>
    <t>as for ~</t>
    <phoneticPr fontId="1"/>
  </si>
  <si>
    <t>as to ~</t>
    <phoneticPr fontId="1"/>
  </si>
  <si>
    <t>not to mention ~</t>
    <phoneticPr fontId="1"/>
  </si>
  <si>
    <t>to say nothing of ~</t>
    <phoneticPr fontId="1"/>
  </si>
  <si>
    <t>be dependent on / upon ~</t>
    <phoneticPr fontId="1"/>
  </si>
  <si>
    <t xml:space="preserve">be independent of ~ </t>
    <phoneticPr fontId="1"/>
  </si>
  <si>
    <t>in order</t>
    <phoneticPr fontId="1"/>
  </si>
  <si>
    <t>out of order</t>
    <phoneticPr fontId="1"/>
  </si>
  <si>
    <t>look down on / upon ~</t>
    <phoneticPr fontId="1"/>
  </si>
  <si>
    <t>look up to ~</t>
    <phoneticPr fontId="1"/>
  </si>
  <si>
    <t>do with ~</t>
    <phoneticPr fontId="1"/>
  </si>
  <si>
    <t>do without (~)</t>
    <phoneticPr fontId="1"/>
  </si>
  <si>
    <t>in / within sight</t>
    <phoneticPr fontId="1"/>
  </si>
  <si>
    <t>out of sight</t>
    <phoneticPr fontId="1"/>
  </si>
  <si>
    <t>at (one's) ease</t>
    <phoneticPr fontId="1"/>
  </si>
  <si>
    <t>ill at ease</t>
    <phoneticPr fontId="1"/>
  </si>
  <si>
    <t>act on / upon ~</t>
    <phoneticPr fontId="1"/>
  </si>
  <si>
    <t>break in (~)</t>
    <phoneticPr fontId="1"/>
  </si>
  <si>
    <t>break out</t>
    <phoneticPr fontId="1"/>
  </si>
  <si>
    <t>break up (~)</t>
    <phoneticPr fontId="1"/>
  </si>
  <si>
    <t>call for ~</t>
    <phoneticPr fontId="1"/>
  </si>
  <si>
    <t>call on / upon ~</t>
    <phoneticPr fontId="1"/>
  </si>
  <si>
    <t>come across (~)</t>
    <phoneticPr fontId="1"/>
  </si>
  <si>
    <t>come to (~)</t>
    <phoneticPr fontId="1"/>
  </si>
  <si>
    <t>give out (~)</t>
    <phoneticPr fontId="1"/>
  </si>
  <si>
    <t>go by (~)</t>
    <phoneticPr fontId="1"/>
  </si>
  <si>
    <t>go off</t>
    <phoneticPr fontId="1"/>
  </si>
  <si>
    <t>go on (~)</t>
    <phoneticPr fontId="1"/>
  </si>
  <si>
    <t>go out</t>
    <phoneticPr fontId="1"/>
  </si>
  <si>
    <t>go over ~</t>
    <phoneticPr fontId="1"/>
  </si>
  <si>
    <t>go with ~</t>
    <phoneticPr fontId="1"/>
  </si>
  <si>
    <t>hold out (~)</t>
    <phoneticPr fontId="1"/>
  </si>
  <si>
    <t>hold up (~)</t>
    <phoneticPr fontId="1"/>
  </si>
  <si>
    <t>live on (~)</t>
    <phoneticPr fontId="1"/>
  </si>
  <si>
    <t>look to ~</t>
    <phoneticPr fontId="1"/>
  </si>
  <si>
    <t>look up ~</t>
    <phoneticPr fontId="1"/>
  </si>
  <si>
    <t>put out ~</t>
    <phoneticPr fontId="1"/>
  </si>
  <si>
    <t>settle down</t>
    <phoneticPr fontId="1"/>
  </si>
  <si>
    <t>stand by</t>
    <phoneticPr fontId="1"/>
  </si>
  <si>
    <t>stand for ~</t>
    <phoneticPr fontId="1"/>
  </si>
  <si>
    <t>take in ~</t>
    <phoneticPr fontId="1"/>
  </si>
  <si>
    <t>take on ~</t>
    <phoneticPr fontId="1"/>
  </si>
  <si>
    <t>take to ~</t>
    <phoneticPr fontId="1"/>
  </si>
  <si>
    <t>take up ~</t>
    <phoneticPr fontId="1"/>
  </si>
  <si>
    <t>turn down ~</t>
    <phoneticPr fontId="1"/>
  </si>
  <si>
    <t>turn in ~</t>
    <phoneticPr fontId="1"/>
  </si>
  <si>
    <t>make for ~</t>
    <phoneticPr fontId="1"/>
  </si>
  <si>
    <t>make out ~</t>
    <phoneticPr fontId="1"/>
  </si>
  <si>
    <t>meet with ~</t>
    <phoneticPr fontId="1"/>
  </si>
  <si>
    <t>provide for ~</t>
    <phoneticPr fontId="1"/>
  </si>
  <si>
    <t>put down ~</t>
    <phoneticPr fontId="1"/>
  </si>
  <si>
    <t>run over (~)</t>
    <phoneticPr fontId="1"/>
  </si>
  <si>
    <t>set out (~)</t>
    <phoneticPr fontId="1"/>
  </si>
  <si>
    <t>be due to ~</t>
    <phoneticPr fontId="1"/>
  </si>
  <si>
    <t>up to ~</t>
    <phoneticPr fontId="1"/>
  </si>
  <si>
    <t>at large</t>
    <phoneticPr fontId="1"/>
  </si>
  <si>
    <t>in effect</t>
    <phoneticPr fontId="1"/>
  </si>
  <si>
    <t>all but ~</t>
    <phoneticPr fontId="1"/>
  </si>
  <si>
    <t>at length</t>
    <phoneticPr fontId="1"/>
  </si>
  <si>
    <t>next to ~</t>
    <phoneticPr fontId="1"/>
  </si>
  <si>
    <t>on end</t>
    <phoneticPr fontId="1"/>
  </si>
  <si>
    <t>by way of ~</t>
    <phoneticPr fontId="1"/>
  </si>
  <si>
    <t>add to ~</t>
    <phoneticPr fontId="1"/>
  </si>
  <si>
    <t>adapt to ~</t>
    <phoneticPr fontId="1"/>
  </si>
  <si>
    <t>object to ~</t>
    <phoneticPr fontId="1"/>
  </si>
  <si>
    <t>admit to ~</t>
    <phoneticPr fontId="1"/>
  </si>
  <si>
    <t>conform to / with ~</t>
    <phoneticPr fontId="1"/>
  </si>
  <si>
    <t>resort to ~</t>
    <phoneticPr fontId="1"/>
  </si>
  <si>
    <t>keep to ~</t>
    <phoneticPr fontId="1"/>
  </si>
  <si>
    <t>get to ~</t>
    <phoneticPr fontId="1"/>
  </si>
  <si>
    <t>adhere to ~</t>
    <phoneticPr fontId="1"/>
  </si>
  <si>
    <t>reflect on ~</t>
    <phoneticPr fontId="1"/>
  </si>
  <si>
    <t>dicide on ~</t>
    <phoneticPr fontId="1"/>
  </si>
  <si>
    <t>fall on ~</t>
    <phoneticPr fontId="1"/>
  </si>
  <si>
    <t>feed on ~</t>
    <phoneticPr fontId="1"/>
  </si>
  <si>
    <t>run into ~</t>
    <phoneticPr fontId="1"/>
  </si>
  <si>
    <t xml:space="preserve">break into ~ </t>
    <phoneticPr fontId="1"/>
  </si>
  <si>
    <t>enter into ~</t>
    <phoneticPr fontId="1"/>
  </si>
  <si>
    <t>burst into ~</t>
    <phoneticPr fontId="1"/>
  </si>
  <si>
    <t>dispose of ~</t>
    <phoneticPr fontId="1"/>
  </si>
  <si>
    <t>approve of ~</t>
    <phoneticPr fontId="1"/>
  </si>
  <si>
    <t>boast of / about ~</t>
    <phoneticPr fontId="1"/>
  </si>
  <si>
    <t>become of ~</t>
    <phoneticPr fontId="1"/>
  </si>
  <si>
    <t>aim at ~</t>
    <phoneticPr fontId="1"/>
  </si>
  <si>
    <t>interfere with ~</t>
    <phoneticPr fontId="1"/>
  </si>
  <si>
    <t>part with ~</t>
    <phoneticPr fontId="1"/>
  </si>
  <si>
    <t>long for ~</t>
    <phoneticPr fontId="1"/>
  </si>
  <si>
    <t>send for ~</t>
    <phoneticPr fontId="1"/>
  </si>
  <si>
    <t>go about ~</t>
    <phoneticPr fontId="1"/>
  </si>
  <si>
    <t>run across ~</t>
    <phoneticPr fontId="1"/>
  </si>
  <si>
    <t>end up （doing / 場所 / 状態）</t>
    <phoneticPr fontId="1"/>
  </si>
  <si>
    <t>use up ~</t>
    <phoneticPr fontId="1"/>
  </si>
  <si>
    <t>sum up (~)</t>
    <phoneticPr fontId="1"/>
  </si>
  <si>
    <t>clear up (~)</t>
    <phoneticPr fontId="1"/>
  </si>
  <si>
    <t>tie up (~)</t>
    <phoneticPr fontId="1"/>
  </si>
  <si>
    <t>cheer up (~)</t>
    <phoneticPr fontId="1"/>
  </si>
  <si>
    <t>blow up (~)</t>
    <phoneticPr fontId="1"/>
  </si>
  <si>
    <t>call up (~)</t>
    <phoneticPr fontId="1"/>
  </si>
  <si>
    <t>shut up (~)</t>
    <phoneticPr fontId="1"/>
  </si>
  <si>
    <t>step up (~)</t>
    <phoneticPr fontId="1"/>
  </si>
  <si>
    <t>cut down / back (on ~)</t>
    <phoneticPr fontId="1"/>
  </si>
  <si>
    <t>slow down (~)</t>
    <phoneticPr fontId="1"/>
  </si>
  <si>
    <t>break down (~)</t>
    <phoneticPr fontId="1"/>
  </si>
  <si>
    <t>hand down ~</t>
    <phoneticPr fontId="1"/>
  </si>
  <si>
    <t>take down ~</t>
    <phoneticPr fontId="1"/>
  </si>
  <si>
    <t>burn down ~</t>
    <phoneticPr fontId="1"/>
  </si>
  <si>
    <t>come out</t>
    <phoneticPr fontId="1"/>
  </si>
  <si>
    <t>run out</t>
    <phoneticPr fontId="1"/>
  </si>
  <si>
    <t>speak out / up</t>
    <phoneticPr fontId="1"/>
  </si>
  <si>
    <t>drop out</t>
    <phoneticPr fontId="1"/>
  </si>
  <si>
    <t xml:space="preserve">sort out ~ </t>
    <phoneticPr fontId="1"/>
  </si>
  <si>
    <t>wear out (~)</t>
    <phoneticPr fontId="1"/>
  </si>
  <si>
    <t>roll out (~)</t>
    <phoneticPr fontId="1"/>
  </si>
  <si>
    <t>iron out ~</t>
    <phoneticPr fontId="1"/>
  </si>
  <si>
    <t>set off (~)</t>
    <phoneticPr fontId="1"/>
  </si>
  <si>
    <t>show off (~)</t>
    <phoneticPr fontId="1"/>
  </si>
  <si>
    <t>keep off ~</t>
    <phoneticPr fontId="1"/>
  </si>
  <si>
    <t>give off ~</t>
    <phoneticPr fontId="1"/>
  </si>
  <si>
    <t>break off (~)</t>
    <phoneticPr fontId="1"/>
  </si>
  <si>
    <t>take over (~)</t>
    <phoneticPr fontId="1"/>
  </si>
  <si>
    <t>put in ~</t>
    <phoneticPr fontId="1"/>
  </si>
  <si>
    <t>drop in</t>
    <phoneticPr fontId="1"/>
  </si>
  <si>
    <t>cut in</t>
    <phoneticPr fontId="1"/>
  </si>
  <si>
    <t>pass on ~</t>
    <phoneticPr fontId="1"/>
  </si>
  <si>
    <t>give away ~</t>
    <phoneticPr fontId="1"/>
  </si>
  <si>
    <t>adjust (A) to B</t>
    <phoneticPr fontId="1"/>
  </si>
  <si>
    <t>compare A with / to B</t>
    <phoneticPr fontId="1"/>
  </si>
  <si>
    <t>expose A to B</t>
    <phoneticPr fontId="1"/>
  </si>
  <si>
    <t>leave A (up) to B</t>
    <phoneticPr fontId="1"/>
  </si>
  <si>
    <t>attach A to B</t>
    <phoneticPr fontId="1"/>
  </si>
  <si>
    <t>attribute A to B</t>
    <phoneticPr fontId="1"/>
  </si>
  <si>
    <t>owe A to B</t>
    <phoneticPr fontId="1"/>
  </si>
  <si>
    <t>confine A to B</t>
    <phoneticPr fontId="1"/>
  </si>
  <si>
    <t>liken A to B</t>
    <phoneticPr fontId="1"/>
  </si>
  <si>
    <t>keep A from B</t>
    <phoneticPr fontId="1"/>
  </si>
  <si>
    <t>discourage A from B</t>
    <phoneticPr fontId="1"/>
  </si>
  <si>
    <t>forbid A from doing</t>
    <phoneticPr fontId="1"/>
  </si>
  <si>
    <t>prohibit A from doing</t>
    <phoneticPr fontId="1"/>
  </si>
  <si>
    <t>order A from B</t>
    <phoneticPr fontId="1"/>
  </si>
  <si>
    <t>substitute A for B</t>
    <phoneticPr fontId="1"/>
  </si>
  <si>
    <t>exchange A for B</t>
    <phoneticPr fontId="1"/>
  </si>
  <si>
    <t>blame A for B</t>
    <phoneticPr fontId="1"/>
  </si>
  <si>
    <t>punish A for B</t>
    <phoneticPr fontId="1"/>
  </si>
  <si>
    <t>forgive A for B</t>
    <phoneticPr fontId="1"/>
  </si>
  <si>
    <t>deprive A of B</t>
    <phoneticPr fontId="1"/>
  </si>
  <si>
    <t>rob A ob B</t>
    <phoneticPr fontId="1"/>
  </si>
  <si>
    <t>cure A of B</t>
    <phoneticPr fontId="1"/>
  </si>
  <si>
    <t>accuse A of B</t>
    <phoneticPr fontId="1"/>
  </si>
  <si>
    <t>suspect A of B</t>
    <phoneticPr fontId="1"/>
  </si>
  <si>
    <t>assure A of B</t>
    <phoneticPr fontId="1"/>
  </si>
  <si>
    <t>transform A into / to B</t>
    <phoneticPr fontId="1"/>
  </si>
  <si>
    <t>talk A into B</t>
    <phoneticPr fontId="1"/>
  </si>
  <si>
    <t>present A with B</t>
    <phoneticPr fontId="1"/>
  </si>
  <si>
    <t>diagnose A as / with B</t>
    <phoneticPr fontId="1"/>
  </si>
  <si>
    <t>strike A as B</t>
    <phoneticPr fontId="1"/>
  </si>
  <si>
    <t>congratulate A on B</t>
    <phoneticPr fontId="1"/>
  </si>
  <si>
    <t>name A after B</t>
    <phoneticPr fontId="1"/>
  </si>
  <si>
    <t>make an effort / efforts</t>
    <phoneticPr fontId="1"/>
  </si>
  <si>
    <t>make way</t>
    <phoneticPr fontId="1"/>
  </si>
  <si>
    <t>live / lead a ~ life</t>
    <phoneticPr fontId="1"/>
  </si>
  <si>
    <t>make / earn［a / one's］living</t>
    <phoneticPr fontId="1"/>
  </si>
  <si>
    <t>take one's place</t>
    <phoneticPr fontId="1"/>
  </si>
  <si>
    <t>take turns</t>
    <phoneticPr fontId="1"/>
  </si>
  <si>
    <t>take a chance / chances</t>
    <phoneticPr fontId="1"/>
  </si>
  <si>
    <t>take shape</t>
    <phoneticPr fontId="1"/>
  </si>
  <si>
    <t>take / have a seat</t>
    <phoneticPr fontId="1"/>
  </si>
  <si>
    <t>take a risk / risks</t>
    <phoneticPr fontId="1"/>
  </si>
  <si>
    <t>shake hands</t>
    <phoneticPr fontId="1"/>
  </si>
  <si>
    <t>change hands</t>
    <phoneticPr fontId="1"/>
  </si>
  <si>
    <t>have a say (in ~)</t>
    <phoneticPr fontId="1"/>
  </si>
  <si>
    <t>have / get one's (own) way</t>
    <phoneticPr fontId="1"/>
  </si>
  <si>
    <t>keep / hold one's temper</t>
    <phoneticPr fontId="1"/>
  </si>
  <si>
    <t xml:space="preserve">take advantage of ~ </t>
    <phoneticPr fontId="1"/>
  </si>
  <si>
    <t>take control of ~</t>
    <phoneticPr fontId="1"/>
  </si>
  <si>
    <t>make use of ~</t>
    <phoneticPr fontId="1"/>
  </si>
  <si>
    <t>make fun of ~</t>
    <phoneticPr fontId="1"/>
  </si>
  <si>
    <t>make friends with ~</t>
    <phoneticPr fontId="1"/>
  </si>
  <si>
    <t>make much of ~</t>
    <phoneticPr fontId="1"/>
  </si>
  <si>
    <t>have difficulty (in) doing</t>
    <phoneticPr fontId="1"/>
  </si>
  <si>
    <t>have access to ~</t>
    <phoneticPr fontId="1"/>
  </si>
  <si>
    <t>have an influence / effect on ~</t>
    <phoneticPr fontId="1"/>
  </si>
  <si>
    <t>have a liking for ~</t>
    <phoneticPr fontId="1"/>
  </si>
  <si>
    <t>give rise to ~</t>
    <phoneticPr fontId="1"/>
  </si>
  <si>
    <t>give birth to ~</t>
    <phoneticPr fontId="1"/>
  </si>
  <si>
    <t>find one's way to ~</t>
    <phoneticPr fontId="1"/>
  </si>
  <si>
    <t>keep an eye on ~</t>
    <phoneticPr fontId="1"/>
  </si>
  <si>
    <t>catch sight of ~</t>
    <phoneticPr fontId="1"/>
  </si>
  <si>
    <t>put emphasis / stress on ~</t>
    <phoneticPr fontId="1"/>
  </si>
  <si>
    <t>be related to ~</t>
    <phoneticPr fontId="1"/>
  </si>
  <si>
    <t>be similar to ~</t>
    <phoneticPr fontId="1"/>
  </si>
  <si>
    <t>be subject to ~</t>
    <phoneticPr fontId="1"/>
  </si>
  <si>
    <t>be superior to ~</t>
    <phoneticPr fontId="1"/>
  </si>
  <si>
    <t>be sensitive to ~</t>
    <phoneticPr fontId="1"/>
  </si>
  <si>
    <t>be accustomed to ~</t>
    <phoneticPr fontId="1"/>
  </si>
  <si>
    <t>be contrary to ~</t>
    <phoneticPr fontId="1"/>
  </si>
  <si>
    <t>be indifferent to / towards ~</t>
    <phoneticPr fontId="1"/>
  </si>
  <si>
    <t>be preferable to ~</t>
    <phoneticPr fontId="1"/>
  </si>
  <si>
    <t>be dedicated to ~</t>
    <phoneticPr fontId="1"/>
  </si>
  <si>
    <t>be peculiar to ~</t>
    <phoneticPr fontId="1"/>
  </si>
  <si>
    <t>be prone to ~</t>
    <phoneticPr fontId="1"/>
  </si>
  <si>
    <t>be identical to / with ~</t>
    <phoneticPr fontId="1"/>
  </si>
  <si>
    <t>be involved in ~</t>
    <phoneticPr fontId="1"/>
  </si>
  <si>
    <t>be absorbed in ~</t>
    <phoneticPr fontId="1"/>
  </si>
  <si>
    <t>be lacking in ~</t>
    <phoneticPr fontId="1"/>
  </si>
  <si>
    <t>be versed in ~</t>
    <phoneticPr fontId="1"/>
  </si>
  <si>
    <t>be abundant in ~</t>
    <phoneticPr fontId="1"/>
  </si>
  <si>
    <t>be busy with ~</t>
    <phoneticPr fontId="1"/>
  </si>
  <si>
    <t>be popular with / among ~</t>
    <phoneticPr fontId="1"/>
  </si>
  <si>
    <t>be equipped with ~</t>
    <phoneticPr fontId="1"/>
  </si>
  <si>
    <t>be content / contented with ~</t>
    <phoneticPr fontId="1"/>
  </si>
  <si>
    <t>be confronted with / by ~</t>
    <phoneticPr fontId="1"/>
  </si>
  <si>
    <t>be characteristic of ~</t>
    <phoneticPr fontId="1"/>
  </si>
  <si>
    <t>be worthy of ~</t>
    <phoneticPr fontId="1"/>
  </si>
  <si>
    <t>be ignorant of ~</t>
    <phoneticPr fontId="1"/>
  </si>
  <si>
    <t>be confident of / about ~</t>
    <phoneticPr fontId="1"/>
  </si>
  <si>
    <t>be considerate of / to ~</t>
    <phoneticPr fontId="1"/>
  </si>
  <si>
    <t>be guilty of ~</t>
    <phoneticPr fontId="1"/>
  </si>
  <si>
    <t>be convinced of ~</t>
    <phoneticPr fontId="1"/>
  </si>
  <si>
    <t>be tolerant of ~</t>
    <phoneticPr fontId="1"/>
  </si>
  <si>
    <t>be wary of ~</t>
    <phoneticPr fontId="1"/>
  </si>
  <si>
    <t>be suitable for / to ~</t>
    <phoneticPr fontId="1"/>
  </si>
  <si>
    <t>be grateful (to A) for B</t>
    <phoneticPr fontId="1"/>
  </si>
  <si>
    <t>be particular about / over ~</t>
    <phoneticPr fontId="1"/>
  </si>
  <si>
    <t>come down with ~</t>
    <phoneticPr fontId="1"/>
  </si>
  <si>
    <t>come into being / existence</t>
    <phoneticPr fontId="1"/>
  </si>
  <si>
    <t>come true</t>
    <phoneticPr fontId="1"/>
  </si>
  <si>
    <t>do ~ good</t>
    <phoneticPr fontId="1"/>
  </si>
  <si>
    <t>get in touch (with ~)</t>
    <phoneticPr fontId="1"/>
  </si>
  <si>
    <t>go blind</t>
    <phoneticPr fontId="1"/>
  </si>
  <si>
    <t>have A in common (with B)</t>
    <phoneticPr fontId="1"/>
  </si>
  <si>
    <t>keep / bear ~ in mind</t>
    <phoneticPr fontId="1"/>
  </si>
  <si>
    <t>look back on / to ~</t>
    <phoneticPr fontId="1"/>
  </si>
  <si>
    <t>make it</t>
    <phoneticPr fontId="1"/>
  </si>
  <si>
    <t>sign up for ~</t>
    <phoneticPr fontId="1"/>
  </si>
  <si>
    <t>take ~ by surprise</t>
    <phoneticPr fontId="1"/>
  </si>
  <si>
    <t>in terms of ~</t>
    <phoneticPr fontId="1"/>
  </si>
  <si>
    <t>in danger of ~</t>
    <phoneticPr fontId="1"/>
  </si>
  <si>
    <t>in need of ~</t>
    <phoneticPr fontId="1"/>
  </si>
  <si>
    <t>in response to ~</t>
    <phoneticPr fontId="1"/>
  </si>
  <si>
    <t>in favor of ~</t>
    <phoneticPr fontId="1"/>
  </si>
  <si>
    <t>in the face of ~</t>
    <phoneticPr fontId="1"/>
  </si>
  <si>
    <t>in charge of ~</t>
    <phoneticPr fontId="1"/>
  </si>
  <si>
    <t>in relation to ~</t>
    <phoneticPr fontId="1"/>
  </si>
  <si>
    <t>in place of ~</t>
    <phoneticPr fontId="1"/>
  </si>
  <si>
    <t>in the presence of ~</t>
    <phoneticPr fontId="1"/>
  </si>
  <si>
    <t>in honor of ~</t>
    <phoneticPr fontId="1"/>
  </si>
  <si>
    <t>in (the) light of ~</t>
    <phoneticPr fontId="1"/>
  </si>
  <si>
    <t>in harmony with ~</t>
    <phoneticPr fontId="1"/>
  </si>
  <si>
    <t>in exchange for ~</t>
    <phoneticPr fontId="1"/>
  </si>
  <si>
    <t>for the sake of ~</t>
    <phoneticPr fontId="1"/>
  </si>
  <si>
    <t>for fear of ~</t>
    <phoneticPr fontId="1"/>
  </si>
  <si>
    <t>for lack / want of ~</t>
    <phoneticPr fontId="1"/>
  </si>
  <si>
    <t>at the expense of ~</t>
    <phoneticPr fontId="1"/>
  </si>
  <si>
    <t>at the sight of ~</t>
    <phoneticPr fontId="1"/>
  </si>
  <si>
    <t>at the mercy of ~</t>
    <phoneticPr fontId="1"/>
  </si>
  <si>
    <t>as opposed to ~</t>
    <phoneticPr fontId="1"/>
  </si>
  <si>
    <t>by means of ~</t>
    <phoneticPr fontId="1"/>
  </si>
  <si>
    <t>by / in virtue of ~</t>
    <phoneticPr fontId="1"/>
  </si>
  <si>
    <t>on / in behalf of ~</t>
    <phoneticPr fontId="1"/>
  </si>
  <si>
    <t>on a / the charge of ~</t>
    <phoneticPr fontId="1"/>
  </si>
  <si>
    <t>with / in regard to ~</t>
    <phoneticPr fontId="1"/>
  </si>
  <si>
    <t>in part</t>
    <phoneticPr fontId="1"/>
  </si>
  <si>
    <t>in turn</t>
    <phoneticPr fontId="1"/>
  </si>
  <si>
    <t>in place</t>
    <phoneticPr fontId="1"/>
  </si>
  <si>
    <t>in practice</t>
    <phoneticPr fontId="1"/>
  </si>
  <si>
    <t>in demand</t>
    <phoneticPr fontId="1"/>
  </si>
  <si>
    <t>in the meanwhile / meantime</t>
    <phoneticPr fontId="1"/>
  </si>
  <si>
    <t>in all likelihood</t>
    <phoneticPr fontId="1"/>
  </si>
  <si>
    <t>at work</t>
    <phoneticPr fontId="1"/>
  </si>
  <si>
    <t>at risk</t>
    <phoneticPr fontId="1"/>
  </si>
  <si>
    <t>at a loss</t>
    <phoneticPr fontId="1"/>
  </si>
  <si>
    <t>at first sight</t>
    <phoneticPr fontId="1"/>
  </si>
  <si>
    <t>at heart</t>
    <phoneticPr fontId="1"/>
  </si>
  <si>
    <t>at intervals</t>
    <phoneticPr fontId="1"/>
  </si>
  <si>
    <t>on (the / an) average</t>
    <phoneticPr fontId="1"/>
  </si>
  <si>
    <t>on a ~ basis</t>
    <phoneticPr fontId="1"/>
  </si>
  <si>
    <t>on a ~ scale</t>
    <phoneticPr fontId="1"/>
  </si>
  <si>
    <t>on display</t>
    <phoneticPr fontId="1"/>
  </si>
  <si>
    <t>on the increase</t>
    <phoneticPr fontId="1"/>
  </si>
  <si>
    <t>on (one's) guard</t>
    <phoneticPr fontId="1"/>
  </si>
  <si>
    <t>to ~ extent / degree</t>
    <phoneticPr fontId="1"/>
  </si>
  <si>
    <t>to one's surprise</t>
    <phoneticPr fontId="1"/>
  </si>
  <si>
    <t>to the point</t>
    <phoneticPr fontId="1"/>
  </si>
  <si>
    <t>to make matters / things worse</t>
    <phoneticPr fontId="1"/>
  </si>
  <si>
    <t>to one's advantage</t>
    <phoneticPr fontId="1"/>
  </si>
  <si>
    <t>from ~ on / onward(s)</t>
    <phoneticPr fontId="1"/>
  </si>
  <si>
    <t>from ~ point of view</t>
    <phoneticPr fontId="1"/>
  </si>
  <si>
    <t>for sure / certain</t>
    <phoneticPr fontId="1"/>
  </si>
  <si>
    <t>under way</t>
    <phoneticPr fontId="1"/>
  </si>
  <si>
    <t>under construction</t>
    <phoneticPr fontId="1"/>
  </si>
  <si>
    <t>of late</t>
    <phoneticPr fontId="1"/>
  </si>
  <si>
    <t>of one's own accord / free will</t>
    <phoneticPr fontId="1"/>
  </si>
  <si>
    <t>without fail</t>
    <phoneticPr fontId="1"/>
  </si>
  <si>
    <t>behind the times</t>
    <phoneticPr fontId="1"/>
  </si>
  <si>
    <t>beyond description</t>
    <phoneticPr fontId="1"/>
  </si>
  <si>
    <t>out of breath</t>
    <phoneticPr fontId="1"/>
  </si>
  <si>
    <t>out of character</t>
    <phoneticPr fontId="1"/>
  </si>
  <si>
    <t>what we call ~</t>
    <phoneticPr fontId="1"/>
  </si>
  <si>
    <t>what S is</t>
    <phoneticPr fontId="1"/>
  </si>
  <si>
    <t>~ will do</t>
    <phoneticPr fontId="1"/>
  </si>
  <si>
    <t>may well do</t>
    <phoneticPr fontId="1"/>
  </si>
  <si>
    <t>might (just) as well do</t>
    <phoneticPr fontId="1"/>
  </si>
  <si>
    <t>cannot V too (…)</t>
    <phoneticPr fontId="1"/>
  </si>
  <si>
    <t>the last 名詞 to do ~</t>
    <phoneticPr fontId="1"/>
  </si>
  <si>
    <t>S have A to do with B</t>
    <phoneticPr fontId="1"/>
  </si>
  <si>
    <t>to tell (you) the truth</t>
    <phoneticPr fontId="1"/>
  </si>
  <si>
    <t>needless to say</t>
    <phoneticPr fontId="1"/>
  </si>
  <si>
    <t>feel like doing / 名詞</t>
    <phoneticPr fontId="1"/>
  </si>
  <si>
    <t>be used to doing</t>
    <phoneticPr fontId="1"/>
  </si>
  <si>
    <t>cannot help doing</t>
    <phoneticPr fontId="1"/>
  </si>
  <si>
    <t>come close / near to doing</t>
    <phoneticPr fontId="1"/>
  </si>
  <si>
    <t>with a view to doing</t>
    <phoneticPr fontId="1"/>
  </si>
  <si>
    <t>joking / kidding aside</t>
    <phoneticPr fontId="1"/>
  </si>
  <si>
    <t>catch ~ doing</t>
    <phoneticPr fontId="1"/>
  </si>
  <si>
    <t>speaking / talking of ~</t>
    <phoneticPr fontId="1"/>
  </si>
  <si>
    <t>judging from / by ~</t>
    <phoneticPr fontId="1"/>
  </si>
  <si>
    <t>that is (to say)</t>
    <phoneticPr fontId="1"/>
  </si>
  <si>
    <t>in itself</t>
    <phoneticPr fontId="1"/>
  </si>
  <si>
    <t>to oneself</t>
    <phoneticPr fontId="1"/>
  </si>
  <si>
    <t>one after another</t>
    <phoneticPr fontId="1"/>
  </si>
  <si>
    <t>none other than ~</t>
    <phoneticPr fontId="1"/>
  </si>
  <si>
    <t>would / had rather do A (than  do B)</t>
    <phoneticPr fontId="1"/>
  </si>
  <si>
    <t>as many / much as ~</t>
    <phoneticPr fontId="1"/>
  </si>
  <si>
    <t>as good as ~</t>
    <phoneticPr fontId="1"/>
  </si>
  <si>
    <t>as ~ as any</t>
    <phoneticPr fontId="1"/>
  </si>
  <si>
    <t>all the 比較級</t>
    <phoneticPr fontId="1"/>
  </si>
  <si>
    <t>that much 比較級</t>
    <phoneticPr fontId="1"/>
  </si>
  <si>
    <t>much / still less ~</t>
    <phoneticPr fontId="1"/>
  </si>
  <si>
    <t>what is more</t>
    <phoneticPr fontId="1"/>
  </si>
  <si>
    <t>know better (than to do)</t>
    <phoneticPr fontId="1"/>
  </si>
  <si>
    <t>Couldn't be better.</t>
    <phoneticPr fontId="1"/>
  </si>
  <si>
    <t>worse still / yet</t>
    <phoneticPr fontId="1"/>
  </si>
  <si>
    <t>to the best of one's knowledge</t>
    <phoneticPr fontId="1"/>
  </si>
  <si>
    <t>not ~ (in) the least</t>
    <phoneticPr fontId="1"/>
  </si>
  <si>
    <t>to the full / fullest</t>
    <phoneticPr fontId="1"/>
  </si>
  <si>
    <t>by far</t>
    <phoneticPr fontId="1"/>
  </si>
  <si>
    <t>provided (that) S V ~</t>
    <phoneticPr fontId="1"/>
  </si>
  <si>
    <t>every / each time S V ~</t>
    <phoneticPr fontId="1"/>
  </si>
  <si>
    <t>the moment / minute S V ~</t>
    <phoneticPr fontId="1"/>
  </si>
  <si>
    <t>when it comes to ~</t>
    <phoneticPr fontId="1"/>
  </si>
  <si>
    <t>as it is</t>
    <phoneticPr fontId="1"/>
  </si>
  <si>
    <t>as / so far as S be concerned</t>
    <phoneticPr fontId="1"/>
  </si>
  <si>
    <t>as follows</t>
    <phoneticPr fontId="1"/>
  </si>
  <si>
    <t xml:space="preserve">as is often the case (with ~) </t>
    <phoneticPr fontId="1"/>
  </si>
  <si>
    <t>as〈複数名詞 / 不可算名詞〉go</t>
    <phoneticPr fontId="1"/>
  </si>
  <si>
    <t>if only S V ~</t>
    <phoneticPr fontId="1"/>
  </si>
  <si>
    <t>if it were not for ~</t>
    <phoneticPr fontId="1"/>
  </si>
  <si>
    <t>(in) the way S V ~</t>
    <phoneticPr fontId="1"/>
  </si>
  <si>
    <t>~ to death</t>
    <phoneticPr fontId="1"/>
  </si>
  <si>
    <t>with ease</t>
    <phoneticPr fontId="1"/>
  </si>
  <si>
    <t>believe it or not</t>
    <phoneticPr fontId="1"/>
  </si>
  <si>
    <t>not all that ~</t>
    <phoneticPr fontId="1"/>
  </si>
  <si>
    <t>the 比較級 ~ , the 比較級 …</t>
    <phoneticPr fontId="1"/>
  </si>
  <si>
    <t>(Just) As ~ , so …</t>
    <phoneticPr fontId="1"/>
  </si>
  <si>
    <t>(It is) No wonder (that) S V ~</t>
    <phoneticPr fontId="1"/>
  </si>
  <si>
    <t>It happens that S V ~</t>
    <phoneticPr fontId="1"/>
  </si>
  <si>
    <t>(The) Chances are (that) ~</t>
    <phoneticPr fontId="1"/>
  </si>
  <si>
    <t>There is no doing ~</t>
    <phoneticPr fontId="1"/>
  </si>
  <si>
    <t>not so much A as B</t>
    <phoneticPr fontId="1"/>
  </si>
  <si>
    <t>hardly ~ when / before …</t>
    <phoneticPr fontId="1"/>
  </si>
  <si>
    <t>never do … without ~</t>
    <phoneticPr fontId="1"/>
  </si>
  <si>
    <t>It goes without saying that S V ~</t>
    <phoneticPr fontId="1"/>
  </si>
  <si>
    <t>(It is) True ~ , but …</t>
    <phoneticPr fontId="1"/>
  </si>
  <si>
    <t>It is not long before ~</t>
    <phoneticPr fontId="1"/>
  </si>
  <si>
    <t>It is (high / about) time (that) S V（仮定法過去）</t>
    <phoneticPr fontId="1"/>
  </si>
  <si>
    <t>no sooner ~ than …</t>
    <phoneticPr fontId="1"/>
  </si>
  <si>
    <t>It is no use doing ~</t>
    <phoneticPr fontId="1"/>
  </si>
  <si>
    <t>It is not until ~ that …</t>
    <phoneticPr fontId="1"/>
  </si>
  <si>
    <t>A is to B what C is to D .</t>
    <phoneticPr fontId="1"/>
  </si>
  <si>
    <t>not so much as do ~</t>
    <phoneticPr fontId="1"/>
  </si>
  <si>
    <t>Nothing is more ~ than A.</t>
    <phoneticPr fontId="1"/>
  </si>
  <si>
    <t>the former ~ , the latter …</t>
    <phoneticPr fontId="1"/>
  </si>
  <si>
    <t>A is one thing ; B is another</t>
    <phoneticPr fontId="1"/>
  </si>
  <si>
    <t>All one has to do is (to) do.</t>
    <phoneticPr fontId="1"/>
  </si>
  <si>
    <t>Suffice (it) to say that S V ~</t>
    <phoneticPr fontId="1"/>
  </si>
  <si>
    <t>be to do</t>
    <phoneticPr fontId="1"/>
  </si>
  <si>
    <t>be forced to do</t>
    <phoneticPr fontId="1"/>
  </si>
  <si>
    <t>be supposed to do</t>
    <phoneticPr fontId="1"/>
  </si>
  <si>
    <t>be to blame (for ~)</t>
    <phoneticPr fontId="1"/>
  </si>
  <si>
    <t>be entitled to ~</t>
    <phoneticPr fontId="1"/>
  </si>
  <si>
    <t>tend to do</t>
    <phoneticPr fontId="1"/>
  </si>
  <si>
    <t>happen to do</t>
    <phoneticPr fontId="1"/>
  </si>
  <si>
    <t>manage to do</t>
    <phoneticPr fontId="1"/>
  </si>
  <si>
    <t>can afford to do</t>
    <phoneticPr fontId="1"/>
  </si>
  <si>
    <t>bother to do</t>
    <phoneticPr fontId="1"/>
  </si>
  <si>
    <t>come to an end / a close</t>
    <phoneticPr fontId="1"/>
  </si>
  <si>
    <t>go so far as to do</t>
    <phoneticPr fontId="1"/>
  </si>
  <si>
    <t>have no (other) choice but to do</t>
    <phoneticPr fontId="1"/>
  </si>
  <si>
    <t>spend 時間 (in) doing</t>
    <phoneticPr fontId="1"/>
  </si>
  <si>
    <t>make a point of doing</t>
    <phoneticPr fontId="1"/>
  </si>
  <si>
    <t>S remain to be seen</t>
    <phoneticPr fontId="1"/>
  </si>
  <si>
    <t>bring oneself to do</t>
    <phoneticPr fontId="1"/>
  </si>
  <si>
    <t>take the trouble to do</t>
    <phoneticPr fontId="1"/>
  </si>
  <si>
    <t>leave nothing to be desired</t>
    <phoneticPr fontId="1"/>
  </si>
  <si>
    <t>in order to do｜so as to do</t>
    <phoneticPr fontId="1"/>
  </si>
  <si>
    <t>in that S V ~</t>
    <phoneticPr fontId="1"/>
  </si>
  <si>
    <t>as / so long as ~</t>
    <phoneticPr fontId="1"/>
  </si>
  <si>
    <t>see (to it) that ~</t>
    <phoneticPr fontId="1"/>
  </si>
  <si>
    <t>so (that) S can do ~</t>
    <phoneticPr fontId="1"/>
  </si>
  <si>
    <t>by the time S V ~</t>
    <phoneticPr fontId="1"/>
  </si>
  <si>
    <t>~ , so (that) …</t>
    <phoneticPr fontId="1"/>
  </si>
  <si>
    <t>now (that) S V ~</t>
    <phoneticPr fontId="1"/>
  </si>
  <si>
    <t>in case S V ~</t>
    <phoneticPr fontId="1"/>
  </si>
  <si>
    <t>given (that) ~</t>
    <phoneticPr fontId="1"/>
  </si>
  <si>
    <t>even as ~</t>
    <phoneticPr fontId="1"/>
  </si>
  <si>
    <t>if any</t>
    <phoneticPr fontId="1"/>
  </si>
  <si>
    <t>on (the) condition (that) S V ~</t>
    <phoneticPr fontId="1"/>
  </si>
  <si>
    <t>lest S (should) do ~</t>
    <phoneticPr fontId="1"/>
  </si>
  <si>
    <t>what with A and B</t>
    <phoneticPr fontId="1"/>
  </si>
  <si>
    <t>…, and ~ at that</t>
    <phoneticPr fontId="1"/>
  </si>
  <si>
    <t>just about</t>
    <phoneticPr fontId="1"/>
  </si>
  <si>
    <t>go ahead</t>
    <phoneticPr fontId="1"/>
  </si>
  <si>
    <t>check out ~</t>
    <phoneticPr fontId="1"/>
  </si>
  <si>
    <t>hold on</t>
    <phoneticPr fontId="1"/>
  </si>
  <si>
    <t>hang up</t>
    <phoneticPr fontId="1"/>
  </si>
  <si>
    <t>give ~ a try</t>
    <phoneticPr fontId="1"/>
  </si>
  <si>
    <t>give ~ a hand</t>
    <phoneticPr fontId="1"/>
  </si>
  <si>
    <t>call back (~)</t>
    <phoneticPr fontId="1"/>
  </si>
  <si>
    <t>from scratch</t>
    <phoneticPr fontId="1"/>
  </si>
  <si>
    <t>see〈人〉off</t>
    <phoneticPr fontId="1"/>
  </si>
  <si>
    <t>hold one's breath</t>
    <phoneticPr fontId="1"/>
  </si>
  <si>
    <t>at / behind the wheel</t>
    <phoneticPr fontId="1"/>
  </si>
  <si>
    <t>having said that</t>
    <phoneticPr fontId="1"/>
  </si>
  <si>
    <t>on the dot</t>
    <phoneticPr fontId="1"/>
  </si>
  <si>
    <t>ask〈人〉a favor</t>
    <phoneticPr fontId="1"/>
  </si>
  <si>
    <t>drive at ~</t>
    <phoneticPr fontId="1"/>
  </si>
  <si>
    <t>before one knows it</t>
    <phoneticPr fontId="1"/>
  </si>
  <si>
    <t>call it a day</t>
    <phoneticPr fontId="1"/>
  </si>
  <si>
    <t>have (a) good command of ~</t>
    <phoneticPr fontId="1"/>
  </si>
  <si>
    <t>keep one's fingers crossed</t>
    <phoneticPr fontId="1"/>
  </si>
  <si>
    <t>pay a visit (to ~)</t>
    <phoneticPr fontId="1"/>
  </si>
  <si>
    <t>S serve〈人〉right</t>
    <phoneticPr fontId="1"/>
  </si>
  <si>
    <t>go to the polls</t>
    <phoneticPr fontId="1"/>
  </si>
  <si>
    <t>take office</t>
    <phoneticPr fontId="1"/>
  </si>
  <si>
    <t>turn a blind eye to ~</t>
    <phoneticPr fontId="1"/>
  </si>
  <si>
    <t>last but not least</t>
    <phoneticPr fontId="1"/>
  </si>
  <si>
    <t>know ~ by sight</t>
    <phoneticPr fontId="1"/>
  </si>
  <si>
    <t>pull ~'s leg</t>
    <phoneticPr fontId="1"/>
  </si>
  <si>
    <t>the bottom line</t>
    <phoneticPr fontId="1"/>
  </si>
  <si>
    <t>have / take a look (at ~)</t>
    <phoneticPr fontId="1"/>
  </si>
  <si>
    <t>What ~ like?</t>
    <phoneticPr fontId="1"/>
  </si>
  <si>
    <t>What ~ for?</t>
    <phoneticPr fontId="1"/>
  </si>
  <si>
    <t>have no idea</t>
    <phoneticPr fontId="1"/>
  </si>
  <si>
    <t>could use ~</t>
    <phoneticPr fontId="1"/>
  </si>
  <si>
    <t>How come (S V ~) ?</t>
    <phoneticPr fontId="1"/>
  </si>
  <si>
    <t>take one's time</t>
    <phoneticPr fontId="1"/>
  </si>
  <si>
    <t>take it easy</t>
    <phoneticPr fontId="1"/>
  </si>
  <si>
    <t>My pleasure.</t>
    <phoneticPr fontId="1"/>
  </si>
  <si>
    <t>make oneself understood</t>
    <phoneticPr fontId="1"/>
  </si>
  <si>
    <t>see much of ~</t>
    <phoneticPr fontId="1"/>
  </si>
  <si>
    <t>think again</t>
    <phoneticPr fontId="1"/>
  </si>
  <si>
    <t>help oneself to ~</t>
    <phoneticPr fontId="1"/>
  </si>
  <si>
    <t>I'm afraid not.</t>
    <phoneticPr fontId="1"/>
  </si>
  <si>
    <t>treat A to B</t>
    <phoneticPr fontId="1"/>
  </si>
  <si>
    <t>be fed up with ~</t>
    <phoneticPr fontId="1"/>
  </si>
  <si>
    <t>come to think of it</t>
    <phoneticPr fontId="1"/>
  </si>
  <si>
    <t>think much / highly of ~</t>
    <phoneticPr fontId="1"/>
  </si>
  <si>
    <t>Legend has it (that) S V ~</t>
    <phoneticPr fontId="1"/>
  </si>
  <si>
    <t>Here we are.</t>
    <phoneticPr fontId="1"/>
  </si>
  <si>
    <t>hit it off (with ~)</t>
    <phoneticPr fontId="1"/>
  </si>
  <si>
    <t>watch one's step</t>
    <phoneticPr fontId="1"/>
  </si>
  <si>
    <t>give one's regards to ~</t>
    <phoneticPr fontId="1"/>
  </si>
  <si>
    <t>You're kidding (me).</t>
    <phoneticPr fontId="1"/>
  </si>
  <si>
    <t>be susceptible to ~</t>
    <phoneticPr fontId="1"/>
  </si>
  <si>
    <t>be at odds (with ~)</t>
    <phoneticPr fontId="1"/>
  </si>
  <si>
    <t>be committed to ~</t>
    <phoneticPr fontId="1"/>
  </si>
  <si>
    <t>be here to stay</t>
    <phoneticPr fontId="1"/>
  </si>
  <si>
    <t>be liable to do / to 名詞</t>
    <phoneticPr fontId="1"/>
  </si>
  <si>
    <t>be no match for ~</t>
    <phoneticPr fontId="1"/>
  </si>
  <si>
    <t>be vulnerable to ~</t>
    <phoneticPr fontId="1"/>
  </si>
  <si>
    <t>be eligible for ~</t>
    <phoneticPr fontId="1"/>
  </si>
  <si>
    <t>be worth doing</t>
    <phoneticPr fontId="1"/>
  </si>
  <si>
    <t>be out to do</t>
    <phoneticPr fontId="1"/>
  </si>
  <si>
    <t>be all ears</t>
    <phoneticPr fontId="1"/>
  </si>
  <si>
    <t>be beside oneself (with ~)</t>
    <phoneticPr fontId="1"/>
  </si>
  <si>
    <t>be cut out to be ~</t>
    <phoneticPr fontId="1"/>
  </si>
  <si>
    <t>be (all) the rage</t>
    <phoneticPr fontId="1"/>
  </si>
  <si>
    <t>account for ~</t>
    <phoneticPr fontId="1"/>
  </si>
  <si>
    <t>allow for ~</t>
    <phoneticPr fontId="1"/>
  </si>
  <si>
    <t>settle for ~</t>
    <phoneticPr fontId="1"/>
  </si>
  <si>
    <t>yearn for ~</t>
    <phoneticPr fontId="1"/>
  </si>
  <si>
    <t>count for 程度表現</t>
    <phoneticPr fontId="1"/>
  </si>
  <si>
    <t>cope with ~</t>
    <phoneticPr fontId="1"/>
  </si>
  <si>
    <t>coincide with ~</t>
    <phoneticPr fontId="1"/>
  </si>
  <si>
    <t>comply with ~</t>
    <phoneticPr fontId="1"/>
  </si>
  <si>
    <t>dispense with ~</t>
    <phoneticPr fontId="1"/>
  </si>
  <si>
    <t>attend to ~</t>
    <phoneticPr fontId="1"/>
  </si>
  <si>
    <t xml:space="preserve">aspire to ~ </t>
    <phoneticPr fontId="1"/>
  </si>
  <si>
    <t>submit to ~</t>
    <phoneticPr fontId="1"/>
  </si>
  <si>
    <t>consent to ~</t>
    <phoneticPr fontId="1"/>
  </si>
  <si>
    <t>deal in ~</t>
    <phoneticPr fontId="1"/>
  </si>
  <si>
    <t>persist in ~</t>
    <phoneticPr fontId="1"/>
  </si>
  <si>
    <t>indulge in ~</t>
    <phoneticPr fontId="1"/>
  </si>
  <si>
    <t>embark on ~</t>
    <phoneticPr fontId="1"/>
  </si>
  <si>
    <t>dwell on ~</t>
    <phoneticPr fontId="1"/>
  </si>
  <si>
    <t>tell on ~</t>
    <phoneticPr fontId="1"/>
  </si>
  <si>
    <t>refrain from ~</t>
    <phoneticPr fontId="1"/>
  </si>
  <si>
    <t>discriminate against ~</t>
    <phoneticPr fontId="1"/>
  </si>
  <si>
    <t>abide by ~</t>
    <phoneticPr fontId="1"/>
  </si>
  <si>
    <t>work out (~)</t>
    <phoneticPr fontId="1"/>
  </si>
  <si>
    <t>rule out ~</t>
    <phoneticPr fontId="1"/>
  </si>
  <si>
    <t>single out ~</t>
    <phoneticPr fontId="1"/>
  </si>
  <si>
    <t>pass out</t>
    <phoneticPr fontId="1"/>
  </si>
  <si>
    <t>miss out on ~</t>
    <phoneticPr fontId="1"/>
  </si>
  <si>
    <t>wind up (~)</t>
    <phoneticPr fontId="1"/>
  </si>
  <si>
    <t>pull up (~)</t>
    <phoneticPr fontId="1"/>
  </si>
  <si>
    <t>throw up (~)</t>
    <phoneticPr fontId="1"/>
  </si>
  <si>
    <t>round up ~</t>
    <phoneticPr fontId="1"/>
  </si>
  <si>
    <t>catch on</t>
    <phoneticPr fontId="1"/>
  </si>
  <si>
    <t>get away with ~</t>
    <phoneticPr fontId="1"/>
  </si>
  <si>
    <t>shy away (from ~)</t>
    <phoneticPr fontId="1"/>
  </si>
  <si>
    <t>hang around / about / round</t>
    <phoneticPr fontId="1"/>
  </si>
  <si>
    <t>get down to ~</t>
    <phoneticPr fontId="1"/>
  </si>
  <si>
    <t>let down ~</t>
    <phoneticPr fontId="1"/>
  </si>
  <si>
    <t>pull off ~</t>
    <phoneticPr fontId="1"/>
  </si>
  <si>
    <t>follow through (on / with ~)</t>
    <phoneticPr fontId="1"/>
  </si>
  <si>
    <t>find oneself ~</t>
    <phoneticPr fontId="1"/>
  </si>
  <si>
    <t>make do (with ~)</t>
    <phoneticPr fontId="1"/>
  </si>
  <si>
    <t>make good (~)</t>
    <phoneticPr fontId="1"/>
  </si>
  <si>
    <t>make (both) ends meet</t>
    <phoneticPr fontId="1"/>
  </si>
  <si>
    <t>make believe (that S V)</t>
    <phoneticPr fontId="1"/>
  </si>
  <si>
    <t>take ~ for granted / take it for granted that S V ~</t>
    <phoneticPr fontId="1"/>
  </si>
  <si>
    <t>take ~ into account</t>
    <phoneticPr fontId="1"/>
  </si>
  <si>
    <t>take hold of ~</t>
    <phoneticPr fontId="1"/>
  </si>
  <si>
    <t>take notice (of ~)</t>
    <phoneticPr fontId="1"/>
  </si>
  <si>
    <t>take effect</t>
    <phoneticPr fontId="1"/>
  </si>
  <si>
    <t>take pains</t>
    <phoneticPr fontId="1"/>
  </si>
  <si>
    <t>keep track of ~</t>
    <phoneticPr fontId="1"/>
  </si>
  <si>
    <t>keep ~ company</t>
    <phoneticPr fontId="1"/>
  </si>
  <si>
    <t>keep abreast of / with ~</t>
    <phoneticPr fontId="1"/>
  </si>
  <si>
    <t>let go of ~</t>
    <phoneticPr fontId="1"/>
  </si>
  <si>
    <t>live up to ~</t>
    <phoneticPr fontId="1"/>
  </si>
  <si>
    <t>look ~ in the eye(s)</t>
    <phoneticPr fontId="1"/>
  </si>
  <si>
    <t>hold true</t>
    <phoneticPr fontId="1"/>
  </si>
  <si>
    <t>come to terms with ~</t>
    <phoneticPr fontId="1"/>
  </si>
  <si>
    <t>come to light</t>
    <phoneticPr fontId="1"/>
  </si>
  <si>
    <t>come of age</t>
    <phoneticPr fontId="1"/>
  </si>
  <si>
    <t>come in handy</t>
    <phoneticPr fontId="1"/>
  </si>
  <si>
    <t>fall short of ~</t>
    <phoneticPr fontId="1"/>
  </si>
  <si>
    <t>go a long way to do</t>
    <phoneticPr fontId="1"/>
  </si>
  <si>
    <t>pave the way for / to ~</t>
    <phoneticPr fontId="1"/>
  </si>
  <si>
    <t>put ~ to use</t>
    <phoneticPr fontId="1"/>
  </si>
  <si>
    <t>stand to reason</t>
    <phoneticPr fontId="1"/>
  </si>
  <si>
    <t>see / do the sights (of ~)</t>
    <phoneticPr fontId="1"/>
  </si>
  <si>
    <t>read between the lines</t>
    <phoneticPr fontId="1"/>
  </si>
  <si>
    <t>follow suit</t>
    <phoneticPr fontId="1"/>
  </si>
  <si>
    <t>play a joke on ~</t>
    <phoneticPr fontId="1"/>
  </si>
  <si>
    <t>get on ~'s nerves</t>
    <phoneticPr fontId="1"/>
  </si>
  <si>
    <t>get / have the better of ~</t>
    <phoneticPr fontId="1"/>
  </si>
  <si>
    <t>get / be even with ~</t>
    <phoneticPr fontId="1"/>
  </si>
  <si>
    <t>hold / keep ~ in check</t>
    <phoneticPr fontId="1"/>
  </si>
  <si>
    <t>have an eye for ~</t>
    <phoneticPr fontId="1"/>
  </si>
  <si>
    <t>have ~ on one's mind</t>
    <phoneticPr fontId="1"/>
  </si>
  <si>
    <t>have yet to do</t>
    <phoneticPr fontId="1"/>
  </si>
  <si>
    <t>dare to do</t>
    <phoneticPr fontId="1"/>
  </si>
  <si>
    <t>impose A on B</t>
    <phoneticPr fontId="1"/>
  </si>
  <si>
    <t>ascribe A to B</t>
    <phoneticPr fontId="1"/>
  </si>
  <si>
    <t>bring A home to B</t>
    <phoneticPr fontId="1"/>
  </si>
  <si>
    <t>a variety of ~</t>
    <phoneticPr fontId="1"/>
  </si>
  <si>
    <t>a handful of ~</t>
    <phoneticPr fontId="1"/>
  </si>
  <si>
    <t>a host of ~</t>
    <phoneticPr fontId="1"/>
  </si>
  <si>
    <t>scores of ~</t>
    <phoneticPr fontId="1"/>
  </si>
  <si>
    <t>quite a few ~</t>
    <phoneticPr fontId="1"/>
  </si>
  <si>
    <t>all manner of ~</t>
    <phoneticPr fontId="1"/>
  </si>
  <si>
    <t>(all) on one's own</t>
    <phoneticPr fontId="1"/>
  </si>
  <si>
    <t>at issue</t>
    <phoneticPr fontId="1"/>
  </si>
  <si>
    <t>at stake</t>
    <phoneticPr fontId="1"/>
  </si>
  <si>
    <t>(enough) 名詞 to go around</t>
    <phoneticPr fontId="1"/>
  </si>
  <si>
    <t>every other 名詞単数形</t>
    <phoneticPr fontId="1"/>
  </si>
  <si>
    <t>for a rainy day</t>
    <phoneticPr fontId="1"/>
  </si>
  <si>
    <t>in earnest</t>
    <phoneticPr fontId="1"/>
  </si>
  <si>
    <t>in (good) shape</t>
    <phoneticPr fontId="1"/>
  </si>
  <si>
    <t>in store (for ~)</t>
    <phoneticPr fontId="1"/>
  </si>
  <si>
    <t>in the works</t>
    <phoneticPr fontId="1"/>
  </si>
  <si>
    <t>nothing short of ~</t>
    <phoneticPr fontId="1"/>
  </si>
  <si>
    <t>~ of one's own</t>
    <phoneticPr fontId="1"/>
  </si>
  <si>
    <t>of one's (own) doing</t>
    <phoneticPr fontId="1"/>
  </si>
  <si>
    <t>on the move</t>
    <phoneticPr fontId="1"/>
  </si>
  <si>
    <t>on the ~ side</t>
    <phoneticPr fontId="1"/>
  </si>
  <si>
    <t>out of hand</t>
    <phoneticPr fontId="1"/>
  </si>
  <si>
    <t>out of the question</t>
    <phoneticPr fontId="1"/>
  </si>
  <si>
    <t>per capita</t>
    <phoneticPr fontId="1"/>
  </si>
  <si>
    <t>right as rain</t>
    <phoneticPr fontId="1"/>
  </si>
  <si>
    <t>second to none</t>
    <phoneticPr fontId="1"/>
  </si>
  <si>
    <t>something of a ~</t>
    <phoneticPr fontId="1"/>
  </si>
  <si>
    <t>upward(s) of ~</t>
    <phoneticPr fontId="1"/>
  </si>
  <si>
    <t>regardless of ~</t>
    <phoneticPr fontId="1"/>
  </si>
  <si>
    <t>in accordance with ~</t>
    <phoneticPr fontId="1"/>
  </si>
  <si>
    <t>in proportion to ~</t>
    <phoneticPr fontId="1"/>
  </si>
  <si>
    <t>in the wake of ~</t>
    <phoneticPr fontId="1"/>
  </si>
  <si>
    <t>but for ~</t>
    <phoneticPr fontId="1"/>
  </si>
  <si>
    <t>on ~ terms with …</t>
    <phoneticPr fontId="1"/>
  </si>
  <si>
    <t>on the verge of ~</t>
    <phoneticPr fontId="1"/>
  </si>
  <si>
    <t>within walking distance of ~</t>
    <phoneticPr fontId="1"/>
  </si>
  <si>
    <t>to the effect that S V</t>
    <phoneticPr fontId="1"/>
  </si>
  <si>
    <t>a case in point</t>
    <phoneticPr fontId="1"/>
  </si>
  <si>
    <t>the pros and cons</t>
    <phoneticPr fontId="1"/>
  </si>
  <si>
    <t>a white elephant</t>
    <phoneticPr fontId="1"/>
  </si>
  <si>
    <t>the elephant in the room</t>
    <phoneticPr fontId="1"/>
  </si>
  <si>
    <t>part and parcel (of ~)</t>
    <phoneticPr fontId="1"/>
  </si>
  <si>
    <t>all along</t>
    <phoneticPr fontId="1"/>
  </si>
  <si>
    <t>all too</t>
    <phoneticPr fontId="1"/>
  </si>
  <si>
    <t>as such</t>
    <phoneticPr fontId="1"/>
  </si>
  <si>
    <t>(at) first hand</t>
    <phoneticPr fontId="1"/>
  </si>
  <si>
    <t>at ~'s convenience</t>
    <phoneticPr fontId="1"/>
  </si>
  <si>
    <t>at will</t>
    <phoneticPr fontId="1"/>
  </si>
  <si>
    <t>by and large</t>
    <phoneticPr fontId="1"/>
  </si>
  <si>
    <t>down the road</t>
    <phoneticPr fontId="1"/>
  </si>
  <si>
    <t>early on</t>
    <phoneticPr fontId="1"/>
  </si>
  <si>
    <t>for a change</t>
    <phoneticPr fontId="1"/>
  </si>
  <si>
    <t>for all I know</t>
    <phoneticPr fontId="1"/>
  </si>
  <si>
    <t>for nothing</t>
    <phoneticPr fontId="1"/>
  </si>
  <si>
    <t>if anything</t>
    <phoneticPr fontId="1"/>
  </si>
  <si>
    <t>in a row</t>
    <phoneticPr fontId="1"/>
  </si>
  <si>
    <t>in person</t>
    <phoneticPr fontId="1"/>
  </si>
  <si>
    <t>in retrospect</t>
    <phoneticPr fontId="1"/>
  </si>
  <si>
    <t>more often than not</t>
    <phoneticPr fontId="1"/>
  </si>
  <si>
    <t>on second thought</t>
    <phoneticPr fontId="1"/>
  </si>
  <si>
    <t>on the face of it</t>
    <phoneticPr fontId="1"/>
  </si>
  <si>
    <t>on the spot</t>
    <phoneticPr fontId="1"/>
  </si>
  <si>
    <t>one of these days</t>
    <phoneticPr fontId="1"/>
  </si>
  <si>
    <t>once upon a time</t>
    <phoneticPr fontId="1"/>
  </si>
  <si>
    <t>only too</t>
    <phoneticPr fontId="1"/>
  </si>
  <si>
    <t>sort/kind of</t>
    <phoneticPr fontId="1"/>
  </si>
  <si>
    <t>such as it is</t>
    <phoneticPr fontId="1"/>
  </si>
  <si>
    <t>to date</t>
    <phoneticPr fontId="1"/>
  </si>
  <si>
    <t>&lt;span class="w"&gt;&lt;b&gt;【893.take notice (of ~)：（〜に）注目する, 気づく】&lt;/b&gt;&lt;/span&gt;
&lt;span class="ml"&gt;&lt;span class="explanation_tag"&gt;語源&lt;/span&gt;
noticeは、印欧祖語*gno-（知る）から生まれたラテン語(g)nōscere（知るようになる, 認識する）に由来する。
&lt;span class="spacer"&gt;&lt;/span&gt;「知るようになる」という意味から、知られるきっかけである「通知, 知らせ」という名詞になる。そして、知らせによって何かを認識することから、「気づく」という動詞になる。
&lt;span class="spacer"&gt;&lt;/span&gt;noticeの核は、対象に意識が向くこと（注意・注目）や、認識すること（気づく）。
&lt;span class="spacer"&gt;&lt;/span&gt;&lt;span class="explanation_tag"&gt;イメージ&lt;/span&gt;
［take notice (of A)］は直訳すると、「（Aへの）注意・注目を手に取る」となる。対象に自分で注意を向けることから、「Aに注目する, 気づく」という意味になる。&lt;/span&gt;</t>
    <rPh sb="183" eb="185">
      <t>ユライ</t>
    </rPh>
    <rPh sb="229" eb="231">
      <t>イミ</t>
    </rPh>
    <phoneticPr fontId="1"/>
  </si>
  <si>
    <t>&lt;span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t>
    <phoneticPr fontId="1"/>
  </si>
  <si>
    <t>&lt;span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t>
  </si>
  <si>
    <t>&lt;span class="w"&gt;&lt;b&gt;【16.be capable of ~：～ができる】&lt;/b&gt;&lt;/span&gt;
&lt;span class="ml"&gt;&lt;span class="explanation_tag"&gt;語源&lt;/span&gt;
capableは、ラテン語のcapere（取る）と、bilis（できる）が合わさってできた語。能力的に取り扱えることから「できる」という意味になる。
&lt;span class="spacer"&gt;&lt;/span&gt;&lt;span class="explanation_tag"&gt;イメージ&lt;/span&gt;
capa部分は、capacity（キャパシティ, 容量, 能力）のキャパと同じで能力を指すと覚えておけばよい。能力があることから「～できる」という意味になる。&lt;/span&gt;</t>
  </si>
  <si>
    <t>&lt;span class="w"&gt;&lt;b&gt;【925.ascribe A to B：AをBのせいにする, AをBのおかげと考える】&lt;/b&gt;&lt;/span&gt;
&lt;span class="ml"&gt;&lt;span class="explanation_tag"&gt;語源&lt;/span&gt;
ascribeは、ラテン語ad（〜へ）と、scribere（書く）が合わさってできた語。これは、名簿や帳簿の特定の欄へ名前や項目を書き込むことや、財産を割り当てて記録することを表した。
&lt;span class="spacer"&gt;&lt;/span&gt;例
Aさんー財産X
Bさんー財産Y
Cさんー財産Z
&lt;span class="spacer"&gt;&lt;/span&gt;このようにあるものと、別のものを結びつけることがascribeの核。
&lt;span class="spacer"&gt;&lt;/span&gt;&lt;span class="explanation_tag"&gt;イメージ&lt;/span&gt;
［ascribe A to B］は語源的に考えると、Bという項目に対してAを書き込んで結びつけるイメージから、「AをBのせいにする」「AをBのおかげと考える」という意味になる。&lt;/span&gt;</t>
  </si>
  <si>
    <t>&lt;span class="w"&gt;&lt;b&gt;【926.bring A home to B：AをBに痛感させる】&lt;/b&gt;&lt;/span&gt;
&lt;span class="ml"&gt;&lt;span class="explanation_tag"&gt;イメージ&lt;/span&gt;
［bring A home to B］のhomeは、日本語でも何かのルーツや自分が安心できる場所、核となるようなものをホームと呼ぶように、「その人の心の一番重要な部分」を指す。
&lt;span class="spacer"&gt;&lt;/span&gt;直訳すると、「Bに対してその人の心の一番重要な部分にAを持ってくる」となる。そこから「AをBに痛感させる」という訳になる。
&lt;span class="spacer"&gt;&lt;/span&gt;&lt;span class="explanation_tag"&gt;補足&lt;/span&gt;
Aが長い場合は、［bring home A to B］や［bring home to B A］といった語順にもなる。&lt;/span&gt;</t>
  </si>
  <si>
    <t>&lt;span class="w"&gt;&lt;b&gt;【927.a variety of ~：①（同一種類の中で）様々な〜, ②〜の一種】&lt;/b&gt;&lt;/span&gt;
&lt;span class="ml"&gt;&lt;span class="explanation_tag"&gt;イメージ&lt;/span&gt;
varietyは、various（様々な）やvary（異なる）の名詞として覚える。
&lt;span class="spacer"&gt;&lt;/span&gt;［a variety of A］は、①豊かなバラエティ全体を1つのまとまり（a variety）と考える場合は、「様々なA」という意味になる。
&lt;span class="spacer"&gt;&lt;/span&gt;②Aという全体の中の1つのバラエティと考える場合は、「Aの一種」という意味になる。
&lt;span class="spacer"&gt;&lt;/span&gt;&lt;span class="explanation_tag"&gt;例&lt;/span&gt;
A variety of apples are sold here.
様々なりんごが売られている
&lt;span class="spacer"&gt;&lt;/span&gt;【りんごA, B, C】＝【a variety】
&lt;span class="spacer"&gt;&lt;/span&gt;This is a rare variety of apple.
これはりんごの珍しい一種だ
&lt;span class="spacer"&gt;&lt;/span&gt;りんごの中の【A】＝【a variety】&lt;/span&gt;</t>
  </si>
  <si>
    <t>&lt;span class="w"&gt;&lt;b&gt;【928.a handful of ~：一握りの〜, 少量の〜】&lt;/b&gt;&lt;/span&gt;
&lt;span class="ml"&gt;&lt;span class="explanation_tag"&gt;イメージ&lt;/span&gt;
handfulは、hand（手）と-ful（満たす）が合わさってできた語。
&lt;span class="spacer"&gt;&lt;/span&gt;［a handful of A］は、1回分の手を満たす数量を表して、「一握りのA」という意味になる。
&lt;span class="spacer"&gt;&lt;/span&gt;また、日本語で「ほんの一握り」という言葉が数量の少なさを表すのと同様に、［少量のA］という意味にもなる。&lt;/span&gt;</t>
  </si>
  <si>
    <t>&lt;span class="w"&gt;&lt;b&gt;【930.scores of ~：多数の〜】&lt;/b&gt;&lt;/span&gt;
&lt;span class="ml"&gt;&lt;span class="explanation_tag"&gt;語源&lt;/span&gt;
scoreは、古英語scoru（20）にさかのぼる。これはおそらく、羊の群れなど多数のものを数える際に、20ごとに棒に線を引っかいて数えたことに由来すると考えられる。
&lt;span class="spacer"&gt;&lt;/span&gt;この数えるという行為から、「得点, 点数, スコア」という意味が生まれ、線を引っかくことから、五線譜に音符を書き込む「楽譜, スコア」という意味になった。
&lt;span class="spacer"&gt;&lt;/span&gt;&lt;span class="explanation_tag"&gt;イメージ&lt;/span&gt;
［scores of A］は、20ごとに数えるscoreが複数形になることで、20のセットがたくさんあることを表して、「多数のA」という意味になる。
&lt;span class="spacer"&gt;&lt;/span&gt;この発想は、［dozens of A」の「数十ものA」と同じ。
&lt;span class="spacer"&gt;&lt;/span&gt;&lt;span class="explanation_tag"&gt;補足&lt;/span&gt;
語源的に、数えられるものを20ずつ数えることが関連しているので、Aには可算名詞の複数形が入る。&lt;/span&gt;</t>
  </si>
  <si>
    <t>many a / an 単数名詞</t>
  </si>
  <si>
    <t>&lt;span class="w"&gt;&lt;b&gt;【932.quite a few ~：かなりの数の〜】&lt;/b&gt;&lt;/span&gt;
&lt;span class="ml"&gt;&lt;span class="explanation_tag"&gt;語源&lt;/span&gt;
［quite a few A］は、a fewに程度を強調するquietが付いた表現。現代では、a fewは「少しの」という意味で覚えるが、1803年に出版された本の中で、イングランド北部の方言に、本来のa fewの意味とは反対のa good few（かなりの数の）という使い方が紹介されている。
&lt;span class="spacer"&gt;&lt;/span&gt;このa good fewから変化した［quite a few］という形は、1854年から見られる。
&lt;span class="spacer"&gt;&lt;/span&gt;&lt;span class="explanation_tag"&gt;イメージ&lt;/span&gt;
［quite a few A］は、「かなりの数のA」という方言的な使い方によるもの。
&lt;span class="spacer"&gt;&lt;/span&gt;「少ない」を表す表現が反対の「多い」を意味するようになる現象は、日本語でも見られる。例えば、「彼はちょっとした有名人だ」というのは、少しだけ有名だという意味ではなく、結構有名だという強調表現として使われる。
&lt;span class="spacer"&gt;&lt;/span&gt;また「ちょっと難しすぎる」は、かなり難しいことを表す。&lt;/span&gt;</t>
  </si>
  <si>
    <t>&lt;span class="w"&gt;&lt;b&gt;【934.(all) on one's own：（すべて）自分1人で】&lt;/b&gt;&lt;/span&gt;
&lt;span class="ml"&gt;&lt;span class="explanation_tag"&gt;イメージ&lt;/span&gt;
［(all) on one's own］は、自分自身（one's own）を土台にしてその上で（on）何かを行なっているイメージ。そこから、他人の力や助けを借りないで「自分1人で」という意味になる。
&lt;span class="spacer"&gt;&lt;/span&gt;allを足すと「すべて」という強調が付け加えられる。&lt;/span&gt;</t>
  </si>
  <si>
    <t>at ~'s disposal</t>
  </si>
  <si>
    <t>&lt;span class="w"&gt;&lt;b&gt;【937.at stake：危うくなって, 賭けられて】&lt;/b&gt;&lt;/span&gt;
&lt;span class="ml"&gt;&lt;span class="explanation_tag"&gt;イメージ&lt;/span&gt;
語源不明のstake（賭け）を使った［at stake］は直訳通り、何かが「賭けられている」状態を表す。そして、何かを賭けで失うリスクがあることから、「危うくなって」という意味にもなる。&lt;/span&gt;</t>
  </si>
  <si>
    <t>&lt;span class="w"&gt;&lt;b&gt;【940.for a rainy day：まさかのときに備えて】&lt;/b&gt;&lt;/span&gt;
&lt;span class="ml"&gt;&lt;span class="explanation_tag"&gt;語源&lt;/span&gt;
rainy dayは「雨の日」だが、1570年代から比喩的に、「困難な時期, 運が悪い時」を表すようになった。
&lt;span class="spacer"&gt;&lt;/span&gt;&lt;span class="explanation_tag"&gt;イメージ&lt;/span&gt;
［for a rainy day］は直訳すると、「困難な時期のために」となるので、「まさかのときに備えて」といった表現になる。&lt;/span&gt;</t>
  </si>
  <si>
    <t>&lt;span class="w"&gt;&lt;b&gt;【942.in (good) shape：調子がよくて】&lt;/b&gt;&lt;/span&gt;
&lt;span class="ml"&gt;&lt;span class="explanation_tag"&gt;語源&lt;/span&gt;
shapeは、日本語でも「シェイプ, 形」という意味で使われるが、1865年までにアメリカで「状態」という意味でも使われるようになった。
&lt;span class="spacer"&gt;&lt;/span&gt;［in good shape］は、良い状態であることを表して、「調子がよくて」といういみになる。
&lt;span class="spacer"&gt;&lt;/span&gt;もしも［in bad shape］であれば、「調子が悪くて」という意味になる。&lt;/span&gt;</t>
    <rPh sb="40" eb="42">
      <t>チョウシ</t>
    </rPh>
    <rPh sb="123" eb="126">
      <t>ニホンゴ</t>
    </rPh>
    <rPh sb="135" eb="136">
      <t>カタチ</t>
    </rPh>
    <rPh sb="140" eb="142">
      <t>イミ</t>
    </rPh>
    <rPh sb="143" eb="144">
      <t>ツカ</t>
    </rPh>
    <rPh sb="153" eb="154">
      <t>ネン</t>
    </rPh>
    <rPh sb="163" eb="165">
      <t>ジョウタイ</t>
    </rPh>
    <rPh sb="169" eb="171">
      <t>イミ</t>
    </rPh>
    <rPh sb="173" eb="174">
      <t>ツカ</t>
    </rPh>
    <rPh sb="230" eb="231">
      <t>ヨ</t>
    </rPh>
    <rPh sb="232" eb="234">
      <t>ジョウタイ</t>
    </rPh>
    <rPh sb="240" eb="241">
      <t>アラワ</t>
    </rPh>
    <rPh sb="245" eb="247">
      <t>チョウシ</t>
    </rPh>
    <rPh sb="313" eb="315">
      <t>チョウシ</t>
    </rPh>
    <rPh sb="316" eb="317">
      <t>ワル</t>
    </rPh>
    <rPh sb="323" eb="325">
      <t>イミ</t>
    </rPh>
    <phoneticPr fontId="1"/>
  </si>
  <si>
    <t>&lt;span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t>
  </si>
  <si>
    <t>&lt;span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t>
  </si>
  <si>
    <t>&lt;span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t>
  </si>
  <si>
    <t>&lt;span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t>
  </si>
  <si>
    <t>&lt;span class="w"&gt;&lt;b&gt;【45.think of ~：～のことを考える, 〜を思いつく, 〜を思い出す】&lt;/b&gt;&lt;/span&gt;
&lt;span class="ml"&gt;&lt;span class="explanation_tag"&gt;語源&lt;/span&gt;
ofは、古英語of / æfにさかのぼり、「分離」や「起点」を表した。この古英語から現代英語ofとoffが生まれている。
&lt;span class="spacer"&gt;&lt;/span&gt;&lt;span class="explanation_tag"&gt;イメージ&lt;/span&gt;
［think of A］は、頭の中にある様々な思考や記憶の塊からAが分離して浮かんでくるイメージ。そこから「Aのことを考える」「Aを思いつく」「Aを思い出す」といった意味になる。&lt;/span&gt;</t>
  </si>
  <si>
    <t>&lt;span class="w"&gt;&lt;b&gt;【770.if any：もしあるとしても, もしあれば】&lt;/b&gt;&lt;/span&gt;
&lt;span class="ml"&gt;&lt;span class="explanation_tag"&gt;イメージ&lt;/span&gt;
［if any］は、if there are any A（もしAがどれだけかあるとしても, もしAがどれだけかあれば）から、there areとA部分が省略された形だと考えればよい。
&lt;span class="spacer"&gt;&lt;/span&gt;そこから「もしあるとしても」という数量の少なさや、「もしあれば」という仮定を表す。&lt;/span&gt;</t>
  </si>
  <si>
    <t>&lt;span class="w"&gt;&lt;b&gt;【864.tell on ~：①〜に悪く影響する, ②〜に告げ口をする】&lt;/b&gt;&lt;/span&gt;
&lt;span class="ml"&gt;&lt;span class="explanation_tag"&gt;語源&lt;/span&gt;
tellは、古英語tellan（数える, 計算する）にさかのぼり、以下のように意味が発展した。
&lt;span class="spacer"&gt;&lt;/span&gt;物理的な数を「1、2、3…」と数え上げていたことから、やがて、出来事をひとつひとつ順序立てて物語るという行為に派生し、「話す, 情報を伝える」という意味になった。
&lt;span class="obsolete"&gt;tell（話す）とtail（物語）は同じ語源にさかのぼる兄弟語。&lt;/span&gt;
&lt;span class="spacer"&gt;&lt;/span&gt;数える・計算するということは、対象の数量や性質を正確に把握し、評価するということ。そこから、物事の状況を正しく認識し、「違いを見分ける」という意味が生まれた。
［tell A from B］はこの意味から生まれた表現。
&lt;span class="spacer"&gt;&lt;/span&gt;数えるという行為は、取るに足らないものは無視し、意味のあるものだけを数に入れるという心理と結びつく。そこから、数に入る＝重要である＝「効果や影響がある」という意味へと発展した。
&lt;span class="spacer"&gt;&lt;/span&gt;これは、［305.count on A（Aを頼る）］や［805.count for A（Aの価値がある, 重要性を持つ）］と同じ発想。
&lt;span class="spacer"&gt;&lt;/span&gt;&lt;span class="explanation_tag"&gt;イメージ&lt;/span&gt;
［tell on A］は語源でみた、数に入る＝重要である＝「効果や影響がある」と、「話す, 情報を伝える」の2つの意味から理解すればよい。
&lt;span class="spacer"&gt;&lt;/span&gt;①Aの上に効果や影響が乗っかるイメージから、「〜に悪く影響する」という意味になる。
&lt;span class="spacer"&gt;&lt;/span&gt;②Aの上に情報を乗っけるイメージから、「Aに告げ口をする」という意味になる。&lt;/span&gt;</t>
  </si>
  <si>
    <t>&lt;span class="w"&gt;&lt;b&gt;【869.rule out ~：（可能性など）を排除する, 〜を認めない】&lt;/b&gt;&lt;/span&gt;
&lt;span class="ml"&gt;&lt;span class="explanation_tag"&gt;語源&lt;/span&gt;
ruleと聞くと、まず最初に「ルール」という意味や、それに関連して「支配する, 規定する」という意味が思い浮かぶが、語源は印欧祖語*reg-（まっすぐな線に沿って導く）にさかのぼる。
&lt;span class="spacer"&gt;&lt;/span&gt;まっすぐな線に沿って導くことから、「規則」という名詞になり、さらに規則を定める＝「規定する」や、規則によって「統治する, 支配する」という意味になった。
&lt;span class="spacer"&gt;&lt;/span&gt;またラテン語段階では定規という意味があったが、これは英語でもruler（定規）に残っている。
&lt;span class="spacer"&gt;&lt;/span&gt;&lt;span class="explanation_tag"&gt;イメージ&lt;/span&gt;
［rule out A］は、可能性などにおいて、まっすぐ線引きしてAを外側に置くことから、「（可能性など）Aを排除する」という意味になる。&lt;/span&gt;</t>
  </si>
  <si>
    <t>&lt;span class="w"&gt;&lt;b&gt;【886.make do (with ~)：（代用品などで）間に合わせる】&lt;/b&gt;&lt;/span&gt;
&lt;span class="ml"&gt;&lt;span class="explanation_tag"&gt;イメージ&lt;/span&gt;
このdoは、［664.will do］と同じで、「役立つ, 間に合う」という意味。
&lt;span class="spacer"&gt;&lt;/span&gt;［make do (with A)］は、make O do（Oを役立つようにする, Oを間に合うものにする）からOが省かれた形。直訳通り、「（Aで）間に合わせる」となる。
&lt;span class="spacer"&gt;&lt;/span&gt;&lt;span class="explanation_tag"&gt;関連語&lt;/span&gt;
［664.S will do］は、Sが期待されることや望まれる役割を実際に果たすということから、「Sは役立つ, Sでいい」という意味になる。&lt;/span&gt;</t>
  </si>
  <si>
    <t>&lt;span class="w"&gt;&lt;b&gt;【935.at issue：問題の, 論争中の】&lt;/b&gt;&lt;/span&gt;
&lt;span class="ml"&gt;&lt;span class="explanation_tag"&gt;イメージ&lt;/span&gt;
［at issue］は直訳すると、「issue（問題）のところに（いる）」となる。例えば、S be at issueなら、Sはissue（問題）のところにいるので、「Sは問題となっている」という意味になる。
&lt;span class="spacer"&gt;&lt;/span&gt;また〈名詞〉at issueであれば、〈名詞〉がissue（問題）のところにいるので、「問題の〈名詞〉」という意味になる。&lt;/span&gt;</t>
  </si>
  <si>
    <t>&lt;span class="w"&gt;&lt;b&gt;【936.at ~'s disposal：〜の自由にできる, 自由に使える】&lt;/b&gt;&lt;/span&gt;
&lt;span class="ml"&gt;
&lt;span class="explanation_tag"&gt;disposeの語源&lt;/span&gt;
disposeは、ラテン語dis（離れて）と、ponere（置く）が合わさってできた語。このまま日本語にすると「離して置く」となるが、この語の核は「ごちゃごちゃしたものをそれぞれ離して整理し、あるべき位置へ置く」イメージ。
&lt;span class="spacer"&gt;&lt;/span&gt;不要なものや問題などを整理して、それがあるべき場所へ置くことから「処分する」という意味になる。
&lt;span class="spacer"&gt;&lt;/span&gt;&lt;span class="explanation_tag"&gt;disposalの語源&lt;/span&gt;
disposalは、1620年頃、動詞disposeに名詞を作る-alが付いてできた語で、「処分する権限」や「利用する権利」を表した。
&lt;span class="spacer"&gt;&lt;/span&gt;&lt;span class="explanation_tag"&gt;イメージ&lt;/span&gt;
［at A's disposal］は、Aが処分する権限や利用する権限を持っていて、「Aの自由にできる, 自由に使える」ということを表す。&lt;/span&gt;</t>
  </si>
  <si>
    <t>&lt;span class="w"&gt;&lt;b&gt;【941.in earnest：本格的に, 熱心に】&lt;/b&gt;&lt;/span&gt;
&lt;span class="ml"&gt;&lt;span class="explanation_tag"&gt;語源&lt;/span&gt;
earnestは、形容詞「熱心に, 真剣に」と、名詞「真剣, 熱心」があるが、名詞earnestはこの表現にのみ残っている。
&lt;span class="spacer"&gt;&lt;/span&gt;［in earnest］は直訳すれば、「真剣に, 熱心に, 本格的に」といった意味になる。&lt;/span&gt;</t>
  </si>
  <si>
    <t>&lt;span class="w"&gt;&lt;b&gt;【943.in store (for ~)：（～のために）用意して, （～の身に）降りかかろうとして】&lt;/b&gt;&lt;/span&gt;
&lt;span class="ml"&gt;&lt;span class="explanation_tag"&gt;語源&lt;/span&gt;
動詞storeは、ラテン語in（中に）と、staurare（立つ）が合わさってできた語。&lt;span class="obsolete"&gt;※英語ではinというスペルは消えている。&lt;/span&gt;
&lt;span class="spacer"&gt;&lt;/span&gt;そのまま日本語にすると「中に立てる」となるが、これは敷地内に建物を建て、その建物の中に物資を「保管する, 蓄える」というイメージ。
&lt;span class="spacer"&gt;&lt;/span&gt;名詞storeは、日本語では「店」という意味が一般的だが、もともとは「家庭内の備蓄や保管」を意味した。そして、そこから家庭内に限らず「一般的な備蓄や保管」となり、さらに備蓄を置く場所＝「店」という意味に発展した。
&lt;span class="spacer"&gt;&lt;/span&gt;&lt;span class="explanation_tag"&gt;イメージ&lt;/span&gt;
［in store (for A)］のstoreは「保管」という意味。Aのために何かが保管状態にある＝今後待ち受けている状態にあることを表していて、そこから「Aのために用意して」や「（Aの身に）降りかかろうとして」といった訳になる。&lt;/span&gt;</t>
  </si>
  <si>
    <t>&lt;span class="w"&gt;&lt;b&gt;【946.~ of one's own：自分自身の〜】&lt;/b&gt;&lt;/span&gt;
&lt;span class="ml"&gt;［A of one's own］は、of one's ownがAを修飾して、「自分自身のA」という意味になる。&lt;/span&gt;</t>
  </si>
  <si>
    <t>&lt;span class="w"&gt;&lt;b&gt;【947.of one's (own) doing：（人自身）が〜した】&lt;/b&gt;&lt;/span&gt;
&lt;span class="ml"&gt;&lt;span class="explanation_tag"&gt;イメージ&lt;/span&gt;
［of one's (own) doing］は、one's ownがdoingに対する主語になっていると考えればよい。これは、to不定詞の前に入る人称代名詞の目的格と同じようなイメージ（want him to do / tell her to do / ask me to do）。
&lt;span class="spacer"&gt;&lt;/span&gt;そこから、「（人）が〜した」という意味になる。
&lt;span class="spacer"&gt;&lt;/span&gt;&lt;span class="explanation_tag"&gt;補足&lt;/span&gt;
［A of his (own) doing］のように、ofの前の名詞を修飾することもあれば、［be of his (own) doing］のようにbe動詞に続く場合もある。
&lt;span class="spacer"&gt;&lt;/span&gt;後者は、［of＋抽象名詞］が形容詞的な役割を果たすように、［be of his (own) doing］のof以下全体が形容詞（be動詞の補語）になっているというイメージ。
&lt;span class="spacer"&gt;&lt;/span&gt;［of＋抽象名詞］
of importance（important）
of value（valuable）
of interest（interesting）&lt;/span&gt;</t>
  </si>
  <si>
    <t>&lt;span class="w"&gt;&lt;b&gt;【948.on the move：移動中で, 活躍中で】&lt;/b&gt;&lt;/span&gt;
&lt;span class="ml"&gt;&lt;span class="explanation_tag"&gt;イメージ&lt;/span&gt;
［on the move］は直訳すると、動いている状態や移動している状態（the move）にくっついている（on）ことを表す。つまり、ある時もしくは常に移動していたり、忙しく動き回っていたりする様子を表現しており、「移動中で」「活躍中で」という意味になる。&lt;/span&gt;</t>
  </si>
  <si>
    <t>&lt;span class="w"&gt;&lt;b&gt;【949.on the ~ side：〜気味で】&lt;/b&gt;&lt;/span&gt;
&lt;span class="ml"&gt;&lt;span class="explanation_tag"&gt;イメージ&lt;/span&gt;
［on the A side］は直訳すると「Aの側に」となる。これは、直接的に「Aだ」と言うのではなく、AやBやCといったカテゴリで言えばA側になる＝「A気味だ」という間接的な表現。&lt;/span&gt;</t>
  </si>
  <si>
    <t>&lt;span class="w"&gt;&lt;b&gt;【950.out of hand：①手に負えない, ②即座に】&lt;/b&gt;&lt;/span&gt;
&lt;span class="ml"&gt;&lt;span class="explanation_tag"&gt;語源&lt;/span&gt;
［out of hand］は1590年代に見られる表現で、1200年頃から見られる［in hand］の反対の表現として生まれた。
&lt;span class="spacer"&gt;&lt;/span&gt;in handは、物理的に手の中に収まることから、コントロールできることを表す。
&lt;span class="spacer"&gt;&lt;/span&gt;out of handはその反対なので、①「手に負えない」という意味になる。
&lt;span class="spacer"&gt;&lt;/span&gt;&lt;span class="explanation_tag"&gt;イメージ&lt;/span&gt;
［out of hand］は、in hand（手の中に収めて&lt;strong&gt;時間をかけて&lt;/strong&gt;コントロールする）の反対なので、時間をかけない＝②「即座の」という意味になる。&lt;/span&gt;</t>
  </si>
  <si>
    <t>&lt;span class="w"&gt;&lt;b&gt;【951.out of the question：あり得ない, 不可能で】&lt;/b&gt;&lt;/span&gt;
&lt;span class="ml"&gt;&lt;span class="explanation_tag"&gt;イメージ&lt;/span&gt;
［out of the question］は直訳すると、疑問（the question）の外（out of）となる。つまり、疑問に思う余地がないほど可能性がないことを表して、「あり得ない, 不可能で」という意味になる。&lt;/span&gt;</t>
  </si>
  <si>
    <t>&lt;span class="w"&gt;&lt;b&gt;【952.per capita：一人当たりの】&lt;/b&gt;&lt;/span&gt;
&lt;span class="ml"&gt;&lt;span class="explanation_tag"&gt;語源&lt;/span&gt;
［per capita］は、ラテン語の表現がそのまま英語に入ったもの。
&lt;span class="spacer"&gt;&lt;/span&gt;capitaは、ラテン語caput（頭）に由来する。このラテン語からは、英語capitalが生まれており、「頭のように最も上にあり、中心となるもの」ということから、金銭面では活動基盤となる「資本」、都市に関しては国の中心となる「首都」、文に関しては先頭に置かれる「大文字」という意味になった。
&lt;span class="spacer"&gt;&lt;/span&gt;perは、時速80kmを「80km/h」と表記するときの「/（パー）」と同じで「〜あたり」を意味する。
&lt;span class="spacer"&gt;&lt;/span&gt;［per capita］は、算数で習う「X/人」であり、「一人当たり」という意味になる。&lt;/span&gt;</t>
  </si>
  <si>
    <t>&lt;span class="w"&gt;&lt;b&gt;【953.right as rain：すっかり健康で, 正常で】&lt;/b&gt;&lt;/span&gt;
&lt;span class="ml"&gt;&lt;span class="explanation_tag"&gt;イメージ&lt;/span&gt;
［right as rain］は、英語のリズム＝語呂をよくするためにas rainが付け加えられているだけで、rainには全く意味がなく、right（正しい状態）だけが意味を持っている。
&lt;span class="spacer"&gt;&lt;/span&gt;&lt;span class="explanation_tag"&gt;補足&lt;/span&gt;
as以下に意味がない表現は、次のようなものもある。
&lt;span class="spacer"&gt;&lt;/span&gt;cool as a cucumber
とても冷静な
&lt;span class="spacer"&gt;&lt;/span&gt;blind as a bat
目が見えない&lt;/span&gt;</t>
  </si>
  <si>
    <t>&lt;span class="w"&gt;&lt;b&gt;【955.something of a ~：ちょっとした〜】&lt;/b&gt;&lt;/span&gt;
&lt;span class="ml"&gt;&lt;span class="explanation_tag"&gt;イメージ&lt;/span&gt;
［something of a X］は、somethingを〈of a X〉が修飾する形になっている。これは、直接「Xである」と言うのではなく、something（何らかのもの）という不明瞭な名詞を先に言い、それをXが修飾することによって、「Xである」と強く言えるようなものではなく、「ある程度のXの要素があるもの」というざっくりとしたニュアンスになる。
&lt;span class="spacer"&gt;&lt;/span&gt;例えば、He is a singer. は「彼は歌手だ」と言い切っているが、He is a something of a singer. は「彼は何らかのものなんだ、歌手的な」という感じになっている。
&lt;span class="spacer"&gt;&lt;/span&gt;このようにsomething、もっと言えば不特定のニュアンスを持つsomeがあることで、「ちょっとしたX」という意味になる。&lt;/span&gt;</t>
  </si>
  <si>
    <t>&lt;span class="w"&gt;&lt;b&gt;【956.upward(s) of ~：〜以上の】&lt;/b&gt;&lt;/span&gt;
&lt;span class="ml"&gt;&lt;span class="explanation_tag"&gt;イメージ&lt;/span&gt;
［upward(s) of ~］の-ward(s)は「−の方向へ」という意味。サッカーのフォワードや、looking forward toのforwardは、前（for）方向（-ward）を意味する。
&lt;span class="spacer"&gt;&lt;/span&gt;［upward(s) of A］は直訳すると、「Aの上方向」となることから、「A以上の」という意味になる。&lt;/span&gt;</t>
  </si>
  <si>
    <t>&lt;span class="w"&gt;&lt;b&gt;【957.regardless of ~：〜に関係なく, 〜にもかかわらず】&lt;/b&gt;&lt;/span&gt;
&lt;span class="ml"&gt;&lt;span class="explanation_tag"&gt;regardの語源&lt;/span&gt;
動詞regardは、古フランス語re（強意）と、garder（見る, 注意する）が合わさってできた語。このgarderは、ボディガードのguard（監視者）の語源でもある。つまり、regardのgard部分の核は「注意して見る」。
&lt;span class="spacer"&gt;&lt;/span&gt;&lt;span class="explanation_tag"&gt;regardlessの語源&lt;/span&gt;
regardlessは1590年代に、regard（関心, 注意）と、less（～がない）が合わさってできた語。
&lt;span class="spacer"&gt;&lt;/span&gt;［regardless of A］は、Aについて注意や関心を向けることがなく、Aを考慮に入れないことから、「Aに関係なく, Aにもかかわらず」という意味になる。&lt;/span&gt;</t>
  </si>
  <si>
    <t>&lt;span class="w"&gt;&lt;b&gt;【958.in accordance with ~：〜に従って, 〜に応じて】&lt;/b&gt;&lt;/span&gt;
&lt;span class="ml"&gt;&lt;span class="explanation_tag"&gt;語源&lt;/span&gt;
accordは、ラテン語ad（～へ）と、cor（心）が合わさってできた語。相手の心に自分の心を合わせるイメージから「合意, 一致」、そして合意の末に結ばれる「協定」という意味になる
&lt;span class="spacer"&gt;&lt;/span&gt;&lt;span class="explanation_tag"&gt;イメージ&lt;/span&gt;
［in accordance with A］は語源から考えると、Aと（with A）心が一致した状態（accordance）の中にいる（in）となる。
&lt;span class="spacer"&gt;&lt;/span&gt;つまり、自分をAに一致させることから、「Aに従って, A応じて」という意味になる。&lt;/span&gt;</t>
  </si>
  <si>
    <t>&lt;span class="w"&gt;&lt;b&gt;【959.in proportion to ~：〜に比例して, 〜につり合って, 〜の割に】&lt;/b&gt;&lt;/span&gt;
&lt;span class="ml"&gt;&lt;span class="explanation_tag"&gt;語源&lt;/span&gt;
proportionは、ラテン語pro（前へ）と、*portio（部分）が合わさってできた語。この二つが合わさることで、「全体や他の要素に対して（pro）、ある部分（portio）がどのような関係にあるか」を表すようになる。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&lt;span class="spacer"&gt;&lt;/span&gt;&lt;span class="explanation_tag"&gt;イメージ&lt;/span&gt;
［in proportion to A］は、proportionの「割合, つり合い, 比例」という3つの意味をもとに、「Aの割に」「Aとつり合って」「Aに比例して」のどれになるかを文脈に応じて判断すればよい。&lt;/span&gt;</t>
  </si>
  <si>
    <t>as of 日時</t>
  </si>
  <si>
    <t>&lt;span class="w"&gt;&lt;b&gt;【961.as of 日時：〜現在で, 〜時点で】&lt;/b&gt;&lt;/span&gt;
&lt;span class="ml"&gt;&lt;span class="explanation_tag"&gt;asの語源&lt;/span&gt;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class="explanation_tag"&gt;ofの語源&lt;/span&gt;
ofは、古英語æf（離れて）にさかのぼる。もともとofの主要な意味は「離れて」だったが、1200年頃までにoffが生まれて、その「離れて」という意味を引き継いだ。
&lt;span class="spacer"&gt;&lt;/span&gt;現在のofは、離れて＝「分離」や、「〜の」「〜に関して」などさまざまな意味で使われる。
&lt;span class="spacer"&gt;&lt;/span&gt;&lt;span class="explanation_tag"&gt;イメージ&lt;/span&gt;
［as of 日時］は、asは「一致」で、ofは「〜に関して」だとイメージすればよい。「ある日時に関して」というように、話題になる時間をその日時にピタッと一致させる（as）イメージから、「〜現在で, 〜時点で」という意味になる。
&lt;span class="spacer"&gt;&lt;/span&gt;&lt;span class="explanation_tag"&gt;補足&lt;/span&gt;
［as of 日時］は、分離のofによって起点となる日時を表して、「〈日時〉から」という意味でも使われる。&lt;/span&gt;</t>
  </si>
  <si>
    <t>&lt;span class="w"&gt;&lt;b&gt;【962.but for ~：〜がなければ】&lt;/b&gt;&lt;/span&gt;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［but for A］のbutは本来の「〜を除いて」という除外、forは「〜のために」という理由を表す。「Aという理由・要因を除けば」ということから、「Aがなければ」となる。&lt;/span&gt;</t>
  </si>
  <si>
    <t>&lt;span class="w"&gt;&lt;b&gt;【963.on ~ terms with …：…と〜な関係で】&lt;/b&gt;&lt;/span&gt;
&lt;span class="ml"&gt;&lt;span class="explanation_tag"&gt;語源&lt;/span&gt;
termは、ラテン語terminus（終わり,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［on ~ terms with A］のtermsは「間柄, 関係」という意味。直訳すると、Aと（with A）〜な関係（~ terms）の上にいる（on）となる。そこから「Aと〜な関係で」となる。
&lt;span class="spacer"&gt;&lt;/span&gt;これは、ある人側からのterm（関係性）と、A側からのterm（関係性）があるので、複数形のtermsになる。&lt;/span&gt;</t>
  </si>
  <si>
    <t>&lt;span class="w"&gt;&lt;b&gt;【965.within walking distance of ~：〜から歩いていけるところに】&lt;/b&gt;&lt;/span&gt;
&lt;span class="ml"&gt;&lt;span class="explanation_tag"&gt;ofの語源&lt;/span&gt;
ofは、古英語æf（離れて）にさかのぼる。もともとofの主要な意味は「離れて」だったが、1200年頃までにoffが生まれて、その「離れて」という意味を引き継いだ。
&lt;span class="spacer"&gt;&lt;/span&gt;&lt;span class="explanation_tag"&gt;イメージ&lt;/span&gt;
［within walking distance of A］のofは、語源でみた通り「離れて」というAからの分離を表す。それを踏まえて直訳すると、Aから（of A）歩いていける距離（walking distance）の範囲内で（within）となる。そこから、「Aから歩いていけるところに」という訳になる。&lt;/span&gt;</t>
  </si>
  <si>
    <t>&lt;span class="w"&gt;&lt;b&gt;【967.a case in point：適例】&lt;/b&gt;&lt;/span&gt;
&lt;span class="ml"&gt;&lt;span class="explanation_tag"&gt;イメージ&lt;/span&gt;
［a case in point］は、ポイント・論点・要点の中に収まるケース＝事例であることから、適切な例＝「適例」という意味になる。&lt;/span&gt;</t>
  </si>
  <si>
    <t>&lt;span class="w"&gt;&lt;b&gt;【968.the pros and cons：賛否両論】&lt;/b&gt;&lt;/span&gt;
&lt;span class="ml"&gt;&lt;span class="explanation_tag"&gt;語源&lt;/span&gt;
proは、ラテン語pro（前に, 〜のために, 〜に賛成して）に由来する。これは、英語のforと同じだと考えればよい。
&lt;span class="spacer"&gt;&lt;/span&gt;conは、ラテン語contra（〜に対して, 〜に反対して）に由来する。contrast（対照）やcontroversy（論争）などにも見られる。
&lt;span class="spacer"&gt;&lt;/span&gt;&lt;span class="explanation_tag"&gt;イメージ&lt;/span&gt;
［the pros and cons］は、賛成するよいところと、反対するよくないところが両方あることを表して、「賛否両論」という意味になる。&lt;/span&gt;</t>
  </si>
  <si>
    <t>&lt;span class="w"&gt;&lt;b&gt;【969.a white elephant：無用の長物（役立たないどころかあると迷惑なもの）】&lt;/b&gt;&lt;/span&gt;
&lt;span class="ml"&gt;&lt;span class="explanation_tag"&gt;語源&lt;/span&gt;
［a white elephant］は、1851年に記録されており、「重荷となる負担, 厄介なものでどう処分してよいかわからないもの」という意味で使われた。
&lt;span class="spacer"&gt;&lt;/span&gt;これは、シャム国王（現在のタイ王国）が、気に入らない家臣に神聖な白象（アルビノの象）を贈る慣習に由来するとされる。その贈り物は大変な名誉であったが、白象を適切に飼育・維持するには破滅的なほど莫大な費用がかかったことから、「無用の長物, あると迷惑なもの」という意味になった。&lt;/span&gt;</t>
  </si>
  <si>
    <t>&lt;span class="w"&gt;&lt;b&gt;【970.the elephant in the room：誰も触れたがらない話】&lt;/b&gt;&lt;/span&gt;
&lt;span class="ml"&gt;&lt;span class="explanation_tag"&gt;イメージ&lt;/span&gt;
［the elephant in the room］は、直訳すると部屋の中にゾウがいるという特殊な状況になるが、これは重要なことだが誰も話題にできないことを表している。&lt;/span&gt;</t>
  </si>
  <si>
    <t>&lt;span class="w"&gt;&lt;b&gt;【971.part and parcel (of ~)：（〜の）欠かせないの要素, 最重要な部分】&lt;/b&gt;&lt;/span&gt;
&lt;span class="ml"&gt;&lt;span class="explanation_tag"&gt;語源&lt;/span&gt;
parcelは、ラテン語pars（部分）と、小さいことを表すculaが合わさってできた語。このラテン語からは、ある一部分に目を向けるparticular（特定の）も生まれている。
&lt;span class="spacer"&gt;&lt;/span&gt;もともとは「小さい部分, 小片」を意味し、1640年代から現在の一般的な「小包」という意味が記録されている。
&lt;span class="spacer"&gt;&lt;/span&gt;［part and parcel］は15世紀初頭に見られる。parcelが「小包」という意味で使われる前に存在した表現なので、このparcelは「小さい部分」という古い意味を残している。
&lt;span class="spacer"&gt;&lt;/span&gt;&lt;span class="explanation_tag"&gt;イメージ&lt;/span&gt;
［part and parcel (of A)］は、partとparcelのどちらも「部分」を意味する。「部分」を意味する単語を2つ使うことで、「全体と結びついて&lt;strong&gt;切り離せない&lt;/strong&gt;部分である」ということを強調し、「（Aの）欠かせないの要素, 最重要な部分」という意味になる。&lt;/span&gt;</t>
  </si>
  <si>
    <t>&lt;span class="w"&gt;&lt;b&gt;【972.all along：最初からずっと】&lt;/b&gt;&lt;/span&gt;
&lt;span class="ml"&gt;&lt;span class="explanation_tag"&gt;イメージ&lt;/span&gt;
［all along］は、ただ物事の進行に沿っている（along）だけではなく、全体を表すallによって「初めからである」ということを強調し、「最初からずっと」という意味になる。&lt;/span&gt;</t>
  </si>
  <si>
    <t>&lt;span class="w"&gt;&lt;b&gt;【974.as such：そういうものとして】&lt;/b&gt;&lt;/span&gt;
&lt;span class="ml"&gt;［as such］は直訳すれば、そういうもの（such）として（as）となる。&lt;/span&gt;</t>
  </si>
  <si>
    <t>&lt;span class="w"&gt;&lt;b&gt;【975.(at) first hand：直接に】&lt;/b&gt;&lt;/span&gt;
&lt;span class="ml"&gt;&lt;span class="explanation_tag"&gt;イメージ&lt;/span&gt;
［at first hand］は、ある出来事や情報が発生した源（ソース）から、他の誰かを経由することなく、「最初（first）の手（hand）」でダイレクトに受け取ることから、「直接に」という意味になる。&lt;/span&gt;</t>
  </si>
  <si>
    <t>&lt;span class="w"&gt;&lt;b&gt;【976.at ~'s convenience：〜の都合のよいときに】&lt;/b&gt;&lt;/span&gt;
&lt;span class="ml"&gt;&lt;span class="explanation_tag"&gt;イメージ&lt;/span&gt;
［at A's convenience］のconvenienceは、「コンビニ」に使われているコンビニエンス（便利な, 都合のよい）と関連させて覚える。直訳すれば「Aの都合のよいときに」という意味になる。&lt;/span&gt;</t>
  </si>
  <si>
    <t>at / on short notice</t>
  </si>
  <si>
    <t>&lt;span class="w"&gt;&lt;b&gt;【977.at / on short notice：すぐに】&lt;/b&gt;&lt;/span&gt;
&lt;span class="ml"&gt;&lt;span class="explanation_tag"&gt;イメージ&lt;/span&gt;
［at / on short notice］は、何かを行う際の事前の知らせ（notice）から実行するまでの時間が短い（short）ことを表す。つまり、知らせがあってから準備時間がなく急であることを表して、「すぐに」という意味になる。&lt;/span&gt;</t>
  </si>
  <si>
    <t>&lt;span class="w"&gt;&lt;b&gt;【978.at will：思いのままに】&lt;/b&gt;&lt;/span&gt;
&lt;span class="ml"&gt;&lt;span class="explanation_tag"&gt;イメージ&lt;/span&gt;
willは、助動詞として使われる方が多いが、もともとは「意志する」という動詞や「意志, 思い, 遺言」といった名詞。
&lt;span class="spacer"&gt;&lt;/span&gt;［at will］は直訳の通り、「思いのままに」という意味になる。&lt;/span&gt;</t>
  </si>
  <si>
    <t>&lt;span class="w"&gt;&lt;b&gt;【980.down the road：やがて, 将来は】&lt;/b&gt;&lt;/span&gt;
&lt;span class="ml"&gt;&lt;span class="explanation_tag"&gt;イメージ&lt;/span&gt;
［down the road］は直訳すると、「道を下って」となる。目の前に続く1本の長い道を進んでいくことから比喩的に、この先何があるかわからない時間の流れを表して、「やがて, 将来は」という意味になる。&lt;/span&gt;</t>
  </si>
  <si>
    <t>&lt;span class="w"&gt;&lt;b&gt;【981.early on：早い時期に, 早くから】&lt;/b&gt;&lt;/span&gt;
&lt;span class="ml"&gt;&lt;span class="explanation_tag"&gt;イメージ&lt;/span&gt;
［early on］は、earlyの単なる時間的な早さとは異なり、物事の進行・継続（on）における早い段階（early）を表して、「早い時期に, 早くから」という意味になる。&lt;/span&gt;</t>
  </si>
  <si>
    <t>&lt;span class="w"&gt;&lt;b&gt;【982.for a change：気分転換に, たまには】&lt;/b&gt;&lt;/span&gt;
&lt;span class="ml"&gt;&lt;span class="explanation_tag"&gt;イメージ&lt;/span&gt;
［for a change］は、いつもいつも同じことが続く中で、1度の変化（a change）を求める（for）ことを表して、「気分転換に, たまには」という訳になる。&lt;/span&gt;</t>
  </si>
  <si>
    <t>&lt;span class="w"&gt;&lt;b&gt;【983.for all I know：よくは知らないが】&lt;/b&gt;&lt;/span&gt;
&lt;span class="ml"&gt;&lt;span class="explanation_tag"&gt;イメージ&lt;/span&gt;
［for all I know］は、「私が知っているすべてがあったとしても」という、自分の知識や情報が正確ではないことを表す。そこから、「よく知らないが」という憶測や無関心さの表現となる。
&lt;span class="spacer"&gt;&lt;/span&gt;&lt;span class="explanation_tag"&gt;関連語&lt;/span&gt;
［357.for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lt;/span&gt;</t>
  </si>
  <si>
    <t>&lt;span class="w"&gt;&lt;b&gt;【986.in a row：連続して, 1列で】&lt;/b&gt;&lt;/span&gt;
&lt;span class="ml"&gt;［in a row］は、列（a row）状態の中にいることを表すので、「1列で」や、並んでいることから「連続して」という意味になる。&lt;/span&gt;</t>
  </si>
  <si>
    <t>&lt;span class="w"&gt;&lt;b&gt;【987.in person：（代理人ではなく）じかに, 本人が】&lt;/b&gt;&lt;/span&gt;
&lt;span class="ml"&gt;&lt;span class="explanation_tag"&gt;語源&lt;/span&gt;
personは、ラテン語persona（仮面, 劇の役）に由来する。もともとのラテン語は、演劇でつける仮面やその役を指していたが、そこから特定の「個人」を表すようになった。
&lt;span class="spacer"&gt;&lt;/span&gt;14世紀後期には、「身体そのもの」や「生きた肉体」という意味でも使われており、1560年代から見られる［in person］は、手紙や代理人などではなく、まさに自分自身の肉体をもって現場にいる状態を表して「じかに, 本人が」という意味になった。&lt;/span&gt;</t>
  </si>
  <si>
    <t>&lt;span class="w"&gt;&lt;b&gt;【988.in retrospect：（過去を）振り返って（みて）】&lt;/b&gt;&lt;/span&gt;
&lt;span class="ml"&gt;&lt;span class="explanation_tag"&gt;語源&lt;/span&gt;
retrospectは、ラテン語retro（後ろに）と、specere（見る）が合わさってできた語。時間的に後ろ＝過去を見ることから「過去を振り返る」という意味になる。
&lt;span class="spacer"&gt;&lt;/span&gt;［in retrospect］は、retrospectの状態の中にいることを表して、［（過去）を振り返って（みて）］という意味になる。
&lt;span class="spacer"&gt;&lt;/span&gt;&lt;span class="explanation_tag"&gt;関連語&lt;/span&gt;
spect（見る）系は、以下の語もある。
&lt;span class="spacer"&gt;&lt;/span&gt;aspect（側面）
expect（期待する）
inspect（検査する）
introspect（内省する）
perspective（視点）
prospect（見込み）
respect（尊敬）
spectacle（光景）
suspect（疑う）&lt;/span&gt;</t>
  </si>
  <si>
    <t>&lt;span class="w"&gt;&lt;b&gt;【990.on second thought：考え直してみて】&lt;/b&gt;&lt;/span&gt;
&lt;span class="ml"&gt;&lt;span class="explanation_tag"&gt;イメージ&lt;/span&gt;
［on second thought］は、最初に考えた後の、2回目の考え（second thought）の上に立つことなので、「考え直してみて」という訳になる。&lt;/span&gt;</t>
  </si>
  <si>
    <t>&lt;span class="w"&gt;&lt;b&gt;【991.on the face of it：見たところは, 表面上は】&lt;/b&gt;&lt;/span&gt;
&lt;span class="ml"&gt;［on the face of it］は直訳すると、それ（it）の表面（the face of）上では（on）となる。これは、物事の内部や奥深くではなく、あくまで一番外側の表面であることを表して、「表面上は, 見たところは」という意味になる。
&lt;span class="spacer"&gt;&lt;/span&gt;パッと見える部分はわかるが、内部をじっくり見たらどうかわからない、内部を見たら反対だった、など表面的であることを表す。&lt;/span&gt;</t>
  </si>
  <si>
    <t>once and for all</t>
  </si>
  <si>
    <t>&lt;span class="w"&gt;&lt;b&gt;【993.once and for all：きっぱりと, これを最後に】&lt;/b&gt;&lt;/span&gt;
&lt;span class="ml"&gt;&lt;span class="explanation_tag"&gt;イメージ&lt;/span&gt;
［once (and) for all］は直訳すると、すべての分に対して（for all）この一度（once）となる。これは、今後のすべて分をこの一回にこめる、この一回で済ませて今後は一切ないということを表すので、「きっぱりと, これを最後に」という意味になる。&lt;/span&gt;</t>
  </si>
  <si>
    <t>&lt;span class="w"&gt;&lt;b&gt;【994.one of these days：そのうちに】&lt;/b&gt;&lt;/span&gt;
&lt;span class="ml"&gt;&lt;span class="explanation_tag"&gt;イメージ&lt;/span&gt;
［one of these days］は、these daysがいま現時点に近い複数の日を表し、one ofがその中の一つを表す。つまり、今後やってくるそう遠くないある日を指しており、「そのうちに」という訳になる。&lt;/span&gt;</t>
  </si>
  <si>
    <t>&lt;span class="w"&gt;&lt;b&gt;【995.once upon a time：昔々】&lt;/b&gt;&lt;/span&gt;
&lt;span class="ml"&gt;&lt;span class="explanation_tag"&gt;イメージ&lt;/span&gt;
［once upon a time］は直訳すると、ある時代（a time）の上の（upon）かつてのあるとき（once）、となる。過去の時代の不特定のあるときを表すので、日本語では「昔々」という訳になる。&lt;/span&gt;</t>
  </si>
  <si>
    <t>the other way around / round / about</t>
  </si>
  <si>
    <t>derive from ~</t>
  </si>
  <si>
    <t>&lt;span class="w"&gt;&lt;b&gt;【485.adjust (A) to B：（Aを）Bに合わせて調節する】&lt;/b&gt;&lt;/span&gt;
&lt;span class="ml"&gt;&lt;span class="explanation_tag"&gt;語源&lt;/span&gt;
adjustは、ラテン語&lt;span class="arrow"&gt;→&lt;/span&gt;フランス語&lt;span class="arrow"&gt;→&lt;/span&gt;英語という流れで入ってきた。本来のラテン語起源の意味は失われており、just部分が「ちょうど, 正しく, 公正な」を意味するjustだと勘違いされてしまったフランス語を経て、何かに対して（ad）正しい状態（just）に「調整する」という意味になった。
&lt;span class="spacer"&gt;&lt;/span&gt;&lt;span class="explanation_tag"&gt;イメージ&lt;/span&gt;
［adjust (A) to B］は、（Aを）Bに対してジャストな状態にする（adjust）ことから、「（Aを）Bに合わせて調節する」という意味になる。&lt;/span&gt;</t>
  </si>
  <si>
    <t>&lt;span class="w"&gt;&lt;b&gt;【503.forgive A for B：BのことでAを許す】&lt;/b&gt;&lt;/span&gt;
&lt;span class="ml"&gt;&lt;span class="explanation_tag"&gt;語源&lt;/span&gt;
forgiveは古英語にさかのぼり、for（完全に）とgiefan（与える）が合わさってできた語。forgiefanは、もともと何かを与えることを表した。
&lt;span class="spacer"&gt;&lt;/span&gt;その後、古英語forgiefanは、ラテン語per（完全に）とdonare（与える）が合わさってできたperdonare（許す）の翻訳語として使われたことで、「許す」という意味を獲得した。
ラテン語perdonare（許す）は、現代英語perdon（許す）の語源である。
&lt;span class="spacer"&gt;&lt;/span&gt;つまり現代英語で考えると、forgiveは、翻訳によってperdonの「許す」という意味を獲得した。
&lt;span class="spacer"&gt;&lt;/span&gt;&lt;span class="explanation_tag"&gt;イメージ&lt;/span&gt;
［forgive A for B］はforで理由を表して、「BのことでAを許す」という意味になる。&lt;/span&gt;</t>
  </si>
  <si>
    <t>&lt;span class="w"&gt;&lt;b&gt;【576.be confident of / about ~：〜を確信している】&lt;/b&gt;&lt;/span&gt;
&lt;span class="ml"&gt;&lt;span class="explanation_tag"&gt;語源&lt;/span&gt;
confidentは、ラテン語com（強意）と、fidere（信頼する）が合わさってできた語。対象を完全に信頼することから「確信している」という意味になる。
&lt;span class="spacer"&gt;&lt;/span&gt;［be confident of / about A］は、確信の対象をof / aboutで示して、「Aを確信している」という意味になる。&lt;/span&gt;</t>
  </si>
  <si>
    <t>&lt;span class="w"&gt;&lt;b&gt;【654.of late：最近, 近ごろ】&lt;/b&gt;&lt;/span&gt;
&lt;span class="ml"&gt;&lt;span class="explanation_tag"&gt;イメージ&lt;/span&gt;
lateは「遅い」という意味が思い浮かぶが、この語の核は「時間的に後の方」ということ。つまり「遅い」とは、予定の時刻よりも後の方である、ということを表している。
&lt;span class="spacer"&gt;&lt;/span&gt;この核をもとにlate 18cを考えれば、18世紀全体の後の方なので「18世紀後期」という意味になる。
&lt;span class="spacer"&gt;&lt;/span&gt;さらに18世紀だけではなく、過去からいま現在までの時間を直線で表せば、lateはその直線全体の後の方、つまり「いま」に近い部分＝「最近」を表すことになる。
&lt;span class="spacer"&gt;&lt;/span&gt;そこから［of late］は、最近（late）に含まれる（of）時間を表して、「最近, 近ごろ」という意味になる。&lt;/span&gt;</t>
  </si>
  <si>
    <t>&lt;span class="w"&gt;&lt;b&gt;【696.worse still / yet：さらに悪いことに】&lt;/b&gt;&lt;/span&gt;
&lt;span class="ml"&gt;&lt;span class="explanation_tag"&gt;イメージ&lt;/span&gt;
［worse still / yet］は、worseを［still / yet］で強調しているだけなので、「もっと悪いことに, さらに悪いことに」という意味になる。この2つの語は、比較級の後ろにおいて強調することができる。&lt;/span&gt;</t>
  </si>
  <si>
    <t>&lt;span class="w"&gt;&lt;b&gt;【727.(It is) True ~ , but …：確かに〜だが、…だ】&lt;/b&gt;&lt;/span&gt;
&lt;span class="ml"&gt;&lt;span class="explanation_tag"&gt;イメージ&lt;/span&gt;
［(It is) True ~ , but …］はtrueの後にthatが省略されており、直訳すると「〜は本当だ、しかし…」となる。これは、前半部分を「確かに〜」と認めた上で、後半に「だが…」という形で新しい事実や話者の意見を出す譲歩表現。
&lt;span class="spacer"&gt;&lt;/span&gt;読解においては、&lt;strong&gt;後半部分が重要な情報&lt;/strong&gt;となる。&lt;/span&gt;</t>
  </si>
  <si>
    <t>&lt;span class="w"&gt;&lt;b&gt;【729.It is (high / about) time (that) S V（仮定法過去）：（とっくに / そろそろ）〜してもよいころだ】&lt;/b&gt;&lt;/span&gt;
&lt;span class="ml"&gt;&lt;span class="explanation_tag"&gt;イメージ&lt;/span&gt;
［It is time (that) S V（仮定法過去）］は、that節の中が仮定法過去になる。これは、この表現が現実世界を言語化しているのではなく、「本当なら既にそうなっていてもよいのに、まだなっていない」という話者の頭の中を反映しているから。
&lt;span class="spacer"&gt;&lt;/span&gt;そこから、まだしていないけれど「〜してもよいときだ」という意味になる。
&lt;span class="spacer"&gt;&lt;/span&gt;timeにhighがつけば「とっくに」という切迫感のニュアンスが加えられ、aboutがつけば「そろそろ」というtimeへの接近・近さのニュアンスが加えられる。
&lt;span class="spacer"&gt;&lt;/span&gt;&lt;span class="explanation_tag"&gt;直説法と仮定法の違い&lt;/span&gt;
直説法というのは、現実世界を言葉で表現するので、時制を現実に合わせる。その言葉が表している内容が、現実で現在のことであれば現在形を、過去のことであれば過去形を使う。
&lt;span class="spacer"&gt;&lt;/span&gt;一方、仮定法というのは、話者の頭の中にある願望・提案・要求など、現実世界とは関係のない事柄を言葉にして表現する。そのため、現実とは時制をズラして仮定法であることを表す。&lt;/span&gt;</t>
  </si>
  <si>
    <t>&lt;span class="w"&gt;&lt;b&gt;【730.no sooner ~ than …：〜するやいなや…】&lt;/b&gt;&lt;/span&gt;
&lt;span class="ml"&gt;&lt;span class="explanation_tag"&gt;イメージ&lt;/span&gt;
［no sooner ~ than …］は、「〜」部分と「…」部分の時間的な早さを、soonerによって比較している。
&lt;span class="spacer"&gt;&lt;/span&gt;比較級の前には、どのくらい差があるのかを示す程度表現を付け足すことができるが、ここではno（ゼロ）が付いている。そのため、「〜」と「…」の早さの差はゼロ、つまり、ほとんど同時であることを表している。その結果、「〜するやいなや…」という訳になる。&lt;/span&gt;</t>
  </si>
  <si>
    <t>&lt;span class="w"&gt;&lt;b&gt;【731.It is no use doing ~：〜しても無駄である】&lt;/b&gt;&lt;/span&gt;
&lt;span class="ml"&gt;&lt;span class="explanation_tag"&gt;イメージ&lt;/span&gt;
［It is no use doing］の名詞useは、「使えること」&lt;span class="arrow"&gt;→&lt;/span&gt;「役立つこと」&lt;span class="arrow"&gt;→&lt;/span&gt;「利益」というイメージで覚えればよい。意味上の主語［doing ~］は、役立つことがゼロ（no use）なので、「〜しても無駄である」という意味になる。&lt;/span&gt;</t>
  </si>
  <si>
    <t>&lt;span class="w"&gt;&lt;b&gt;【752.have no (other) choice but to do：〜するより他に仕方がない】&lt;/b&gt;&lt;/span&gt;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［have no (other) choice but to do］は直訳すると、to do（〜すること）以外、0個の選択肢（no choice）を持っている（have）となる。つまり、to do以外の選択肢を持たないことを表して、「〜するより他に仕方がない」という意味になる。&lt;/span&gt;</t>
  </si>
  <si>
    <t>&lt;span class="w"&gt;&lt;b&gt;【773.what with A and B：AやらBやらで】&lt;/b&gt;&lt;/span&gt;
&lt;span class="ml"&gt;&lt;span class="explanation_tag"&gt;whatは「ある程度, いくらか」&lt;/span&gt;
疑問代名詞what（何）は、古くから不特定のものを指す「何か, あること」という意味で使われた（somethingに近い）。これは、現代でもI'll tell you what.（あることを教えよう）に残っている。
&lt;span class="spacer"&gt;&lt;/span&gt;そしてこの「何か, あること」という特定されない代名詞が、「ある程度, いくらか」という不特定の程度表現へと発達した。
&lt;span class="spacer"&gt;&lt;/span&gt;&lt;span class="explanation_tag"&gt;イメージ&lt;/span&gt;
［what with A and B］は、what with A and what with Bであり、このwhatは「ある程度, いくらか」を意味する。
&lt;span class="spacer"&gt;&lt;/span&gt;何かの理由に関して「ある程度はAを抱えていることが原因で、またある程度はBを抱えていることが原因だ」ということを表している。そこから「AやらBやらで」という訳になる。&lt;/span&gt;</t>
  </si>
  <si>
    <t>&lt;span class="w"&gt;&lt;b&gt;【776.just about：ほぼ】&lt;/b&gt;&lt;/span&gt;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［just about］のjustは、aboutの持つ「周囲」というイメージを強調し、ほとんど重なりそうなくらい近いことを表して、「ほぼ」という意味になる。&lt;/span&gt;</t>
  </si>
  <si>
    <t>&lt;span class="w"&gt;&lt;b&gt;【666.might (just) as well do：①〜するのも同じだ, ②〜してもよい, 〜する方がましだ】&lt;/b&gt;&lt;/span&gt;
&lt;span class="ml"&gt;&lt;span class="explanation_tag"&gt;イメージ&lt;/span&gt;
［might (just) as well V］は、次のような形でイメージする。
&lt;span class="spacer"&gt;&lt;/span&gt;might &lt;strong&gt;as well&lt;/strong&gt; do A (&lt;strong&gt;as&lt;/strong&gt; not do A)
Aしないのとするのは同じくらい（as well as）だろう（might）
&lt;span class="spacer"&gt;&lt;/span&gt;ここから、①「〜するのも同じだ」、そしてどうせ同じなら、②「〜してもよい」「〜する方がましだ」という意味になる。&lt;/span&gt;</t>
    <phoneticPr fontId="1"/>
  </si>
  <si>
    <t>&lt;span class="w"&gt;&lt;b&gt;【669.S have A to do with B：BとAの関係がある】&lt;/b&gt;&lt;/span&gt;
&lt;span class="ml"&gt;&lt;span class="explanation_tag"&gt;イメージ&lt;/span&gt;
［S have A to do with B］は直訳すると、Bと一緒に（with B）行うためのA（A to do）を持っている（S have）となる。
&lt;span class="spacer"&gt;&lt;/span&gt;Bと共に何かをするということは、SとBには何らかの関係があることを表している。そして、Aには関係の度合いを表す語が入り、「Bと、Aの程度の関係がある」という意味になる。
&lt;span class="spacer"&gt;&lt;/span&gt;&lt;span class="explanation_tag"&gt;例&lt;/span&gt;
［S have &lt;strong&gt;a lot&lt;/strong&gt; to do with B］
Sは、Bと大いに関係がある
（SはBとするたくさんのことを持っている）
&lt;span class="spacer"&gt;&lt;/span&gt;［S have &lt;strong&gt;something&lt;/strong&gt; to do with B］
Sは、Bと何らかの関係がある
（SはBとする何かを持っている）
&lt;span class="spacer"&gt;&lt;/span&gt;［S have &lt;strong&gt;little&lt;/strong&gt; to do with B］
Sは、Bとするほとんど関係がない
（SはBとするものをほとんど持っていない）
&lt;span class="spacer"&gt;&lt;/span&gt;［S have &lt;strong&gt;nothing&lt;/strong&gt; to do with B］
Sは、Bと何も関係がない
（SはBとするものを何も持っていない）&lt;/span&gt;</t>
    <rPh sb="170" eb="171">
      <t>オコナ</t>
    </rPh>
    <rPh sb="234" eb="235">
      <t>トモ</t>
    </rPh>
    <rPh sb="236" eb="237">
      <t>ナニ</t>
    </rPh>
    <rPh sb="253" eb="254">
      <t>ナン</t>
    </rPh>
    <rPh sb="257" eb="259">
      <t>カンケイ</t>
    </rPh>
    <rPh sb="265" eb="266">
      <t>アラワ</t>
    </rPh>
    <phoneticPr fontId="1"/>
  </si>
  <si>
    <t>&lt;span class="w"&gt;&lt;b&gt;【681.that is (to say)：つまり, すなわち】&lt;/b&gt;&lt;/span&gt;
&lt;span class="ml"&gt;［that is (to say)］は、前の内容を受けて、「それはつまりこうである」というように後に続く内容へと導く表現。
&lt;span class="spacer"&gt;&lt;/span&gt;She is a polyglot. &lt;strong&gt;That is to say&lt;/strong&gt;, she speaks multiple languages.
彼女はポリグロットだ。&lt;strong&gt;それはつまりこういうことだ&lt;/strong&gt;、彼女は多言語を話す。
&lt;span class="spacer"&gt;&lt;/span&gt;このように［that is (to say)］は、「つまり, すなわち」という言い換えの働きがある。&lt;/span&gt;</t>
    <phoneticPr fontId="1"/>
  </si>
  <si>
    <t>&lt;span class="w"&gt;&lt;b&gt;【684.one after another：次々に, 次から次に】&lt;/b&gt;&lt;/span&gt;
&lt;span class="ml"&gt;&lt;span class="explanation_tag"&gt;イメージ&lt;/span&gt;
［one after another］は、one（あるもの）がanother（別のあるもの）の後に来る&lt;span class="arrow"&gt;→&lt;/span&gt;そしてこのoneがanotherとなり、その後にまたoneがやってくる。このようなanotherとoneの連続を表すので、「次々に, 次から次に」という意味になる。&lt;/span&gt;</t>
    <rPh sb="225" eb="226">
      <t>アト</t>
    </rPh>
    <rPh sb="259" eb="260">
      <t>アラワ</t>
    </rPh>
    <phoneticPr fontId="1"/>
  </si>
  <si>
    <t>&lt;span class="w"&gt;&lt;b&gt;【686.would / had rather do A (than  do B)：（〜するよりも）むしろ…したい】&lt;/b&gt;&lt;/span&gt;
&lt;span class="ml"&gt;&lt;span class="explanation_tag"&gt;語源&lt;/span&gt;
ratherは、古英語hraþe（速い, すぐに）の比較級hraþor（より速く, より先に）にさかのぼる。もともとは、「AがBより先にある」という比較を表した。
&lt;span class="spacer"&gt;&lt;/span&gt;そこから「先に述べたこととは反対に」という対比を表すようになり、何かよりも「むしろ」という意味へと繋がった。
&lt;span class="spacer"&gt;&lt;/span&gt;&lt;span class="explanation_tag"&gt;イメージ&lt;/span&gt;
［would / had rather do A (than do B)］の仮定法過去wouldは控え目な意志＝「〜したい」を表し、ratherは「むしろ」という対比を表す。これが合わさって「（Bよりも）むしろAしたい」という意味になる。&lt;/span&gt;</t>
    <phoneticPr fontId="1"/>
  </si>
  <si>
    <t>&lt;span class="w"&gt;&lt;b&gt;【687.as many / much as ~：〜もの数・量】&lt;/b&gt;&lt;/span&gt;
&lt;span class="ml"&gt;&lt;span class="explanation_tag"&gt;イメージ&lt;/span&gt;
［as many / much as 数・量］は、ただ数や量を「100」や「1500」と述べるだけではなく、「100」や「1500」と同じくらいmany / muchなんだ、という話者の判断が入ることで、「多い」という話者の主観が表現されて、「〜&lt;strong&gt;もの&lt;/strong&gt;数・量」という意味になる。&lt;/span&gt;</t>
    <rPh sb="189" eb="190">
      <t>オナ</t>
    </rPh>
    <rPh sb="231" eb="233">
      <t>ワシャ</t>
    </rPh>
    <rPh sb="234" eb="236">
      <t>シュカン</t>
    </rPh>
    <phoneticPr fontId="1"/>
  </si>
  <si>
    <t>&lt;span class="w"&gt;&lt;b&gt;【688.as good as ~：〜も同然, ほとんど〜】&lt;/b&gt;&lt;/span&gt;
&lt;span class="ml"&gt;&lt;span class="explanation_tag"&gt;語源&lt;/span&gt;
goodは「良い」という意味が思い浮かぶが、古英語gōd（適切な, 優れた, 価値のある, 有益な, 効果的な, 完全な）にさかのぼり、様々な意味を持っていた。
&lt;span class="spacer"&gt;&lt;/span&gt;そこから発展して1200年頃には、数量に対して「大きい, 多量の, かなりの」といった程度の強調表現としても使われるようになった。
（例：a good deal of Aのgood）
&lt;span class="spacer"&gt;&lt;/span&gt;&lt;span class="explanation_tag"&gt;イメージ&lt;/span&gt;
［as good as A］は14世紀半ばから見られるが、このgoodは程度を表していると考えればよい。つまり、Aと同じくらいの程度であるから「Aも同然, ほとんどA」という意味になる。&lt;/span&gt;</t>
    <rPh sb="294" eb="295">
      <t>レイ</t>
    </rPh>
    <phoneticPr fontId="1"/>
  </si>
  <si>
    <t>&lt;span class="w"&gt;&lt;b&gt;【693.what is more：さらに】&lt;/b&gt;&lt;/span&gt;
&lt;span class="ml"&gt;&lt;span class="explanation_tag"&gt;イメージ&lt;/span&gt;
［what is more］は直訳すると、「より多いこと」となる。前に述べた内容を受けて、「それよりも多いことは」と話題を追加するイメージで、「さらに」という意味になる。&lt;/span&gt;</t>
    <phoneticPr fontId="1"/>
  </si>
  <si>
    <t>&lt;span class="w"&gt;&lt;b&gt;【695.Couldn't be better.：最高です。いま以上良い状態はありえない。】&lt;/b&gt;&lt;/span&gt;
&lt;span class="ml"&gt;&lt;span class="explanation_tag"&gt;イメージ&lt;/span&gt;
［Couldn't be better］は直訳すると、いま以上より良い状態（better）はあり得ない（couldn't be）となるので、「最高」という意味になる。&lt;/span&gt;</t>
    <phoneticPr fontId="1"/>
  </si>
  <si>
    <t>&lt;span class="w"&gt;&lt;b&gt;【702.every / each time S V ~：SがVする度に】&lt;/b&gt;&lt;/span&gt;
&lt;span class="ml"&gt;&lt;span class="explanation_tag"&gt;イメージ&lt;/span&gt;
［every / each time S V ~］は、timeの後に関係副詞whenが省略されており、［S V ~］がevery / each time（毎回）を修飾していると考えればよい。そこから、「SがVする毎回」＝「SがVする度に」という接続詞的な表現になる。&lt;/span&gt;</t>
  </si>
  <si>
    <t>&lt;span class="w"&gt;&lt;b&gt;【706.as / so far as S be concerned：Sに関する限り】&lt;/b&gt;&lt;/span&gt;
&lt;span class="ml"&gt;&lt;span class="spacer"&gt;&lt;/span&gt;&lt;span class="explanation_tag"&gt;イメージ&lt;/span&gt;
［as / so far as S be concerned］は、距離や空間的な遠さを表すfarが、範囲を表す機能を果たしている。ここでは、実際の物理的・空間的な範囲ではなく、話が及ぶ範囲を「Sに関係する」に限定している。そこから「Sに関する限り」という意味になる。&lt;/span&gt;</t>
  </si>
  <si>
    <t>&lt;span class="w"&gt;&lt;b&gt;【711.if it were not for ~：もし〜がなければ】&lt;/b&gt;&lt;/span&gt;
&lt;span class="ml"&gt;&lt;span class="explanation_tag"&gt;イメージ&lt;/span&gt;
［if it were not for A, …］のitはその時点の状況や状態を漠然と表し、wereは過去時制ではなく仮定法過去、forは「理由」を表す。
&lt;span class="spacer"&gt;&lt;/span&gt;全体を直訳すると、「もしも（if）今の状況や状態が（it）Aという理由によるもの（for A）ではないなら（were not）、…だろう」となる。つまり、いまの状況・状態を成り立たせている原因にAが存在しなければ、…になる、ということを表しているので、「Aがなければ」という意味になる。
&lt;span class="spacer"&gt;&lt;/span&gt;&lt;span class="explanation_tag"&gt;例&lt;/span&gt;
If it were not for your help, I would fail.
もしもいまの状況があなたの助けによるものでなければ、失敗するだろう。
＝もしもあなたの助けがなければ、失敗するだろう。
&lt;span class="spacer"&gt;&lt;/span&gt;&lt;span class="explanation_tag"&gt;補足&lt;/span&gt;
［if it had not been for A］にすれば、「もしも〜がなかったら」となる。&lt;/span&gt;</t>
  </si>
  <si>
    <t>&lt;span class="w"&gt;&lt;b&gt;【713.~ to death：死ぬまで】&lt;/b&gt;&lt;/span&gt;
&lt;span class="ml"&gt;&lt;span class="explanation_tag"&gt;イメージ&lt;/span&gt;
［〜 to death］は直訳の通り、「死に達するまで, 死ぬまで」という意味になる。以下のように実際に死ぬことから、比喩的な「死ぬほど」という意味にもなる。
&lt;span class="spacer"&gt;&lt;/span&gt;starve to death
飢えて死に逹する＝飢え死にする
&lt;span class="spacer"&gt;&lt;/span&gt;freeze to death
凍って死に逹する＝凍死する
&lt;span class="spacer"&gt;&lt;/span&gt;burn to death
焼けて死に逹する＝焼死する
&lt;span class="spacer"&gt;&lt;/span&gt;be bored to death
死に達するくらい退屈する＝死ぬほど退屈する&lt;/span&gt;</t>
  </si>
  <si>
    <t>&lt;span class="w"&gt;&lt;b&gt;【732.It is not until ~ that …：〜になって初めて…だ】&lt;/b&gt;&lt;/span&gt;
&lt;span class="ml"&gt;&lt;span class="explanation_tag"&gt;イメージ&lt;/span&gt; 
この表現は次のような発展で考える。
&lt;span class="spacer"&gt;&lt;/span&gt;【S don't V … until 〜】
Sは〜までVしない
&lt;span class="spacer"&gt;&lt;/span&gt;［until ~］を強調する
【It is not ［until ~］ that S V …】
〜まで、SはV …しない
&lt;span class="spacer"&gt;&lt;/span&gt;つまり以下の二つのパーツから成る。
［until ~］：〜まで
【It is not［ ］that …】：…しない
&lt;span class="spacer"&gt;&lt;/span&gt;「〜まで…しない」ということは、裏を返せば、「〜になって初めて…する」という意味になる。&lt;/span&gt;</t>
  </si>
  <si>
    <t>&lt;span class="w"&gt;&lt;b&gt;【740.be to do：①義務：〜すべきである, ②予定・運命：〜することになっている, ③可能：〜できる, ④意志：〜するつもりである】&lt;/b&gt;&lt;/span&gt;
&lt;span class="ml"&gt;&lt;span class="explanation_tag"&gt;イメージ&lt;/span&gt;
［be to do］は、doに向かう（to）状態（be）というイメージを持てばよい。
&lt;span class="spacer"&gt;&lt;/span&gt;①レールに乗って当然doに向かうなら「義務」になる。
②スケジュール的にdoに向かうなら「予定・運命」になる。
③doに向かって行って到達できるなら「可能」になる。
④自分からdoに向かうなら「意志」になる。
&lt;span class="spacer"&gt;&lt;/span&gt;&lt;span class="explanation_tag"&gt;覚え方&lt;/span&gt;
［be to do］は「業界（ぎょうかい）」という語呂で覚える。
&lt;span class="spacer"&gt;&lt;/span&gt;ぎ：義務
ょう：予定・運命
か：可能
い：意志
&lt;span class="spacer"&gt;&lt;/span&gt;&lt;span class="explanation_tag"&gt;［be to do］の語源&lt;/span&gt;
古英語から初期中英語では、受け身的な意味で使われていた。現代でも［be to blame］で「責められるべき」という受動的な意味になるのは、この古い使用法の名残である。
&lt;span class="spacer"&gt;&lt;/span&gt;後期中英語から近代英語初期になると、be to doが受動的な意味から能動的な意味で使われるようになる。
&lt;span class="spacer"&gt;&lt;/span&gt;そして、おそらくラテン語の未来や義務の表現を［be to do］を使って翻訳したことから、「義務」「予定・運命」「意志」、さらに実際にdoに達する「可能」といった意味に発展していったと考えられる。&lt;/span&gt;</t>
  </si>
  <si>
    <t>&lt;span class="w"&gt;&lt;b&gt;【743.be to blame (for ~)：（〜への）責任がある・責めを追うべきである】&lt;/b&gt;&lt;/span&gt;
&lt;span class="ml"&gt;&lt;span class="explanation_tag"&gt;［be to do］の語源&lt;/span&gt;
［be to do］は、古英語から初期中英語では、受け身的な意味で使われていた。現代の感覚からすると、受け身であればdoではなく、 be doneという形にすべきではないかと思えるが、もともとのto不定詞（や動名詞）は、動詞の名詞化に近かった。
&lt;span class="spacer"&gt;&lt;/span&gt;to doは動詞よりも名詞に近かったため、動詞が持つ能動（する）や受動（される）というニュアンスはほとんど消えており、「する」でも「される」でもどちらでも解釈可能だった。そのような状態の中で、古英語では、to doが受動的なニュアンスで使われていた。
&lt;span class="spacer"&gt;&lt;/span&gt;近代英語以降になると、名詞に近かったto不定詞は、動詞的な性質が強くなる。そのため、能動（do）と受動（be done）の区別が厳密になっていった。最初「受け身はto doではなくto be doneではないのか」という疑問は、我々がto doを動詞として見ているから生まれるものであって、古い英語の視点に立てば、to doが受け身でも問題はないわけである。
&lt;span class="spacer"&gt;&lt;/span&gt;&lt;span class="explanation_tag"&gt;イメージ&lt;/span&gt;
［be to blame］で「責められるべき」という受動的な意味になるのは、to不定詞の古い使い方の名残である。文を見れば、明らかに主語が責められる側なので、読解の上ではそこまで問題になることはない。しかし語法問題で選択する際には、注意する必要がある。&lt;/span&gt;</t>
  </si>
  <si>
    <t>&lt;span class="w"&gt;&lt;b&gt;【801.take office：就任する】&lt;/b&gt;&lt;/span&gt;
&lt;span class="ml"&gt;&lt;span class="explanation_tag"&gt;語源&lt;/span&gt;
officeは、ラテン語opus（仕事）と、facere（する, 作る）が合わさってできた語。この語の核にあるのは「仕事をすること」。
&lt;span class="spacer"&gt;&lt;/span&gt;13世紀半ばには「特定の職務が伴う職業, 政府や行政の役職, 権限や責任のある地位」といった意味で使われた。
&lt;span class="spacer"&gt;&lt;/span&gt;1300年頃には、一般的な「公的な職務＝公職」を表すようになり、14世紀後期から「業務を行う建物や部屋」という意味が現れた。
&lt;span class="spacer"&gt;&lt;/span&gt;&lt;span class="explanation_tag"&gt;イメージ&lt;/span&gt;
オフィスという言葉を聞くと、日本語では「職場」をイメージするかも知れない。しかしこのofficeは、語源で見た通り、仕事をすること、特に「公職」を意味する。
&lt;span class="spacer"&gt;&lt;/span&gt;［take office］は、公職を引き受けることを表して、「就任する」という意味になる。&lt;/span&gt;</t>
  </si>
  <si>
    <t>&lt;span class="w"&gt;&lt;b&gt;【833.be committed to ~：〜に献身する】&lt;/b&gt;&lt;/span&gt;
&lt;span class="ml"&gt;&lt;span class="explanation_tag"&gt;語源&lt;/span&gt;
commitは、ラテン語com（共に）と、mittere（送る, 放つ）が合わさってできた語。ここから現代英語の「献身する」や「罪などを犯す」という意味への発展経緯は明らかではないため、あくまでイメージで覚えておく。
&lt;span class="spacer"&gt;&lt;/span&gt;この語の核は、「対象の元へ何かをまとめて送る」。自分自身や自分の能力、時間、権限など、自分と自分に関するものをまとめて対象に送る感じから、「献身する, 専念する」という意味になる。
&lt;span class="spacer"&gt;&lt;/span&gt;&lt;span class="explanation_tag"&gt;イメージ&lt;/span&gt;
commitの「献身する」という意味は、まず［commit oneself to A］で覚える。語源から考えると、自分自身をAに対してまとめて送るイメージから、「Aに献身する」という意味になる。
&lt;span class="spacer"&gt;&lt;/span&gt;そして［commit oneself to A］を受動態にすれば［S be committed to A］になる。&lt;/span&gt;</t>
  </si>
  <si>
    <t>be intent on ~</t>
  </si>
  <si>
    <t>be acquainted with ~</t>
  </si>
  <si>
    <t>&lt;span class="w"&gt;&lt;b&gt;【572.be acquainted with ~：〜を知っている, 〜と知り合いである】&lt;/b&gt;&lt;/span&gt;
&lt;span class="ml"&gt;&lt;span class="explanation_tag"&gt;acquintの語源&lt;/span&gt;
acquaintは、ラテン語ad（〜へ）と、com（共に）gonoscere（知る）が合わさってできた語。
&lt;span class="spacer"&gt;&lt;/span&gt;人と物事、人と他の人が共に知る状態にすることから、何かを「知らせる」という意味になる。
&lt;span class="spacer"&gt;&lt;/span&gt;［acquaint A with B］という形で、「AにBを知らせる」という意味になる。
&lt;span class="spacer"&gt;&lt;/span&gt;&lt;span class="explanation_tag"&gt;イメージ&lt;/span&gt;
［A be acquainted with B］は、［acquaint A with B］が、Aを主語とする受動態になったもの。そこから、「AはBを知っている, 知り合いである」という意味になる。&lt;/span&gt;</t>
  </si>
  <si>
    <t>&lt;span class="w"&gt;&lt;b&gt;【574.be worthy of ~：〜に値する】&lt;/b&gt;&lt;/span&gt;
&lt;span class="ml"&gt;&lt;span class="explanation_tag"&gt;語源&lt;/span&gt;
worthyは、worth（価値）に形容詞を作る-yが付いてできた語で、「〜の価値がある」という意味になる。
&lt;span class="spacer"&gt;&lt;/span&gt;&lt;span class="explanation_tag"&gt;イメージ&lt;/span&gt;
［be worthy of A］は、Aに対する価値があることから、「Aに値する」という意味になる。&lt;/span&gt;</t>
  </si>
  <si>
    <t>&lt;span class="w"&gt;&lt;b&gt;【593.look back on / to ~：～を振り返る, 回想する】&lt;/b&gt;&lt;/span&gt;
&lt;span class="ml"&gt;&lt;span class="explanation_tag"&gt;イメージ&lt;/span&gt;
［look back on A］は、時間的に後ろ＝昔の方を眺めて（look back）Aに視線を向ける（on A）イメージから、「Aを振り返る」という意味になる。
古英語（500-1100年）では、look atではなくlook onで視線を向ける対象をあらわした。
&lt;span class="spacer"&gt;&lt;/span&gt;［look back to A］は、方向を表すtoが使われるので、過去の特定の時代や歴史上の特定の点に向けるイメージになる。そこから、歴史的な起源をさかのぼったり、特定の年代を指したりして「振り返る」という意味になる。&lt;/span&gt;</t>
  </si>
  <si>
    <t>&lt;span class="w"&gt;&lt;b&gt;【603.in favor of ~：①〜に賛成して, ②〜を選んで, ③〜の有利に】&lt;/b&gt;&lt;/span&gt;
&lt;span class="ml"&gt;&lt;span class="explanation_tag"&gt;語源&lt;/span&gt;
動詞favorは、ラテン語favor（好意, 支持, 偏愛）に由来する。この語の核は、相手に対して好意を持つこと。
&lt;span class="spacer"&gt;&lt;/span&gt;①相手の考えを好んで支持することから「賛成する」、②好意を持って選ぶことから「好む」、③特に強い好意を示すことから「ひいきする」という意味になる。
&lt;span class="spacer"&gt;&lt;/span&gt;［in faver of A］は語源の通り、以下の意味になる。
①「Aに賛成して」
②Aを好むことから「Aを選んで」
③ひいきのように片方に有利な状態から「Aの有利に」&lt;/span&gt;</t>
  </si>
  <si>
    <t>&lt;span class="w"&gt;&lt;b&gt;【607.in place of ~：〜の代わりに】&lt;/b&gt;&lt;/span&gt;
&lt;span class="ml"&gt;&lt;span class="explanation_tag"&gt;イメージ&lt;/span&gt;
［in place of A］は、Aがあるべき場所の中に別の何かがあることを表して、「Aの代わりに」という意味になる。&lt;/span&gt;</t>
  </si>
  <si>
    <t>&lt;span class="w"&gt;&lt;b&gt;【610.in (the) light of ~：〜から見て, 〜を考慮して】&lt;/b&gt;&lt;/span&gt;
&lt;span class="ml"&gt;&lt;span class="explanation_tag"&gt;イメージ&lt;/span&gt;
［in (the) light of A］は、Aという光の中で物事を見るイメージ。つまり、Aの観点で物事を見ることから、「Aから見て, Aを考慮して」といった意味になる。&lt;/span&gt;</t>
  </si>
  <si>
    <t>&lt;span class="w"&gt;&lt;b&gt;【504.deprive A of B：AからBを奪う】&lt;/b&gt;&lt;/span&gt;
&lt;span class="ml"&gt;&lt;span class="explanation_tag"&gt;語源&lt;/span&gt;
depriveは、ラテン語de（完全に）と、privus（個人の）から派生した動詞prevare（奪う）が合わさってできた語。そこから何かを完全に「奪う」という意味になった。
ラテン語privusは、英語private（プライベート）の語源でもある。
&lt;span class="spacer"&gt;&lt;/span&gt;&lt;span class="explanation_tag"&gt;イメージ&lt;/span&gt;
語源で見た通り、de&lt;strong&gt;prive&lt;/strong&gt;と&lt;strong&gt;priv&lt;/strong&gt;ateは、どちらもラテン語privus（個人の）から生まれている。
&lt;span class="spacer"&gt;&lt;/span&gt;個人やプライベートというのは、公・一般から切り離されたものなので、あるものから何かを切り離す＝「奪い取る」という動詞へと発展した。
&lt;span class="spacer"&gt;&lt;/span&gt;［deprive A of B］のofは「分離」を表して、「AからBを奪う」という意味になる。&lt;/span&gt;</t>
  </si>
  <si>
    <t>&lt;span class="w"&gt;&lt;b&gt;【519.live / lead a ~ life：〜の生活を送る】&lt;/b&gt;&lt;/span&gt;
&lt;span class="ml"&gt;このliveは他動詞で、a ~ lifeを目的語として取り、「〜の生活を送る」という意味になる。
&lt;span class="spacer"&gt;&lt;/span&gt;lead（〜を導く）でも同様に、生活を導いていくことから「〜の生活を送る」という意味になる。&lt;/span&gt;</t>
  </si>
  <si>
    <t>&lt;span class="w"&gt;&lt;b&gt;【542.give rise to ~：〜を引き起こす（生む）】&lt;/b&gt;&lt;/span&gt;
&lt;span class="ml"&gt;&lt;span class="explanation_tag"&gt;イメージ&lt;/span&gt;
［give rise to A］は、Aに対して（to A）上方向の動き（rise）を与えて（give）見えるところに出てこさせるというイメージから、「Aを引き起こす（生む）」という意味になる。&lt;/span&gt;</t>
  </si>
  <si>
    <t>fall victim to ~</t>
  </si>
  <si>
    <t>&lt;span class="w"&gt;&lt;b&gt;【546.fall victim to ~：〜の犠牲になる】&lt;/b&gt;&lt;/span&gt;
&lt;span class="ml"&gt;&lt;span class="explanation_tag"&gt;イメージ&lt;/span&gt;
［fall victim to A］は直訳すると、Aへの（to A）犠牲（victim）に落ちていく（fall）となる。そこから、Aの犠牲に陥る＝「Aの犠牲になる」となる。&lt;/span&gt;</t>
  </si>
  <si>
    <t>&lt;span class="w"&gt;&lt;b&gt;【447.send for ~：（人）を呼ぶ, （物）を取り寄せる】&lt;/b&gt;&lt;/span&gt;
&lt;span class="ml"&gt;&lt;span class="explanation_tag"&gt;語源&lt;/span&gt;
sendは、古英語sendanにさかのぼり、物や人を送ることを表した。send forは14世紀後期までに現れ、何かを求めて使者を送ることを意味した。
&lt;span class="spacer"&gt;&lt;/span&gt;［send for A］は、もともとは、Aを求めて（for A）使者を送り（send）、その使者に人を連れて来させる、物を持って来させるという意味だった。
&lt;span class="spacer"&gt;&lt;/span&gt;しかし、電話・メール・インターネット・サービスがある現代では、「使者を送って」というニュアンスは薄れ、自分ではない誰かを使って「人を呼ぶ, 物を取り寄せる」という意味になっている。&lt;/span&gt;</t>
  </si>
  <si>
    <t>&lt;span class="w"&gt;&lt;b&gt;【470.sort out ~ ：〜を整理する, 〜を分類する, 〜を処理する】&lt;/b&gt;&lt;/span&gt;
&lt;span class="ml"&gt;&lt;span class="explanation_tag"&gt;語源&lt;/span&gt;
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class="spacer"&gt;&lt;/span&gt;そこから、Aは貴族に、Bは中流に、Cは労働者に、Dは奴隷に…といったように、ある対象を何かに割り当てて分けるという動詞になり、何かを「分類する」という意味になった。
&lt;span class="spacer"&gt;&lt;/span&gt;&lt;span class="explanation_tag"&gt;イメージ&lt;/span&gt;
［sort out A］の核は、ぐちゃぐちゃな状態やゴタゴタしている状況を、分類して整理し、スッキリさせるイメージ。そこから「Aを整理する, Aを分類する」や、問題など「Aを処理する」という意味になる。
&lt;span class="spacer"&gt;&lt;/span&gt;&lt;span class="explanation_tag"&gt;補足&lt;/span&gt;
写真やデータ、ショッピングサイトの商品などを、新着順・古い順・おすすめ順・あいうえお順などに並び替えることを「ソート」という。&lt;/span&gt;</t>
  </si>
  <si>
    <t>&lt;span class="w"&gt;&lt;b&gt;【1019.highlight：〜を目立たせる, 〜を強調する】&lt;/b&gt;&lt;/span&gt;
&lt;span class="ml"&gt;近代英語にさかのぼり、以下の2つの要素から成る。
&lt;span class="spacer"&gt;&lt;/span&gt;high（高い）
light（光度）
&lt;span class="spacer"&gt;&lt;/span&gt;もともとは美術の用語で、絵画の陰影において、光が当たる最も明るい（光の度合いが高い）部分を表した。そこから比喩的に、何かにおいて目立つ部分を表すようになり、「目立たせる, 強調する」という意味になった。&lt;/span&gt;</t>
    <rPh sb="215" eb="217">
      <t>ドア</t>
    </rPh>
    <rPh sb="219" eb="220">
      <t>タカ</t>
    </rPh>
    <phoneticPr fontId="1"/>
  </si>
  <si>
    <t>&lt;span class="w"&gt;&lt;b&gt;【405.make for ~：①〜の方に進む, ②〜に寄与する, 〜に役立つ】&lt;/b&gt;&lt;/span&gt;
&lt;span class="ml"&gt;&lt;span class="explanation_tag"&gt;語源&lt;/span&gt;
1200年頃
make way（道を切り開く）
&lt;span class="spacer"&gt;&lt;/span&gt;14世紀初期
make way（進む, 進行する）
&lt;span class="spacer"&gt;&lt;/span&gt;1580年代
make for（〜へ向かう）
&lt;span class="spacer"&gt;&lt;/span&gt;1620年代
make（〜に到着する：元は航海用語）
&lt;span class="spacer"&gt;&lt;/span&gt;&lt;span class="explanation_tag"&gt;イメージ&lt;/span&gt;
［make for A］は、目的を表すforをもとに考えればよい。
&lt;span class="spacer"&gt;&lt;/span&gt;①makeには、もともと「向かう」という意味があり、それが残っている表現。これは、make way（道を切り開いて進む）から、make自体で「進む」という意味になった可能性がある。
make（進む）の後にfor Aで目的地を示して、「Aの方に進む」という意味になる。
&lt;span class="spacer"&gt;&lt;/span&gt;②Aのために（for A）何かを為す（make）ことから、「Aに寄与する, Aに役立つ」という意味になる。&lt;/span&gt;</t>
  </si>
  <si>
    <t>related31</t>
  </si>
  <si>
    <t>&lt;span class="w"&gt;&lt;b&gt;【321.sympathize with ~：〜に同情する】&lt;/b&gt;&lt;/span&gt;
&lt;span class="ml"&gt;&lt;span class="explanation_tag"&gt;語源&lt;/span&gt;
sympathizeは、フランス語sympathiser（他人と同じように感じる）に由来する。これは、sympathy（同情, 共感, シンパシー）が動詞になったものと考えればよい。
&lt;span class="spacer"&gt;&lt;/span&gt;sympathyは、ギリシャ語syn（共に）と、pathos（感情）が合わさってできた語。共有された感情、同じ感情を表す。
syn（共に）は、シンクロ（同時）のシンと同じ。
&lt;span class="explanation_tag"&gt;イメージ&lt;/span&gt;
［sympathize with A］は語源的に考えると、Aと（with A）共に感じる（sympathize）となる。Aが感じている苦しみや感情を共に感じることから、「Aに同情する」という意味になる。&lt;/span&gt;</t>
  </si>
  <si>
    <t>&lt;span class="w"&gt;&lt;b&gt;【345.in principle：理論的には, 原則的には】&lt;/b&gt;&lt;/span&gt;
&lt;span class="ml"&gt;&lt;span class="explanation_tag"&gt;語源&lt;/span&gt;
principleは、ラテン語primus（第一の）と、capere（取る）が合わさってできた語。第一のポジションを取るものを表して、何かが成り立つための土台＝「原理, 原則」や、行動の土台となる「主義, 信条」という意味になった。
&lt;span class="spacer"&gt;&lt;/span&gt;&lt;span class="explanation_tag"&gt;イメージ&lt;/span&gt;
ふつう、ある行動や決定には、それに至るまでの思考がある。つまり〈①思考→②行動・決定〉という順序になる。
&lt;span class="spacer"&gt;&lt;/span&gt;principleは語源を見ると、「第一を取る」が核にある。上記の流れで言えば、「第一」は、①の思考部分を指す。
&lt;span class="spacer"&gt;&lt;/span&gt;そこから［in principle］は、実際の行動・決定の前段階にある「思考部分においては」となる。実際に何かを行う現実的なレベルではなく、「理論的には, 原則的には」という意味になる。&lt;/span&gt;</t>
  </si>
  <si>
    <t>&lt;span class="w"&gt;&lt;b&gt;【create / cereal / increase / decrease の関係】&lt;/b&gt;&lt;/span&gt;
&lt;span class="ml"&gt;createの語源は、ラテン語creare（作る, 育てる, 引き起こす）。
cerealの語源は、ラテン語Ceres（穀物を司る女神）。
increase, decreaseの語源は、ラテン語crescere（成長する）。
&lt;span class"spacer"&gt;&lt;/span&gt;これらのラテン語はすべて共通の語から生まれた兄弟語。
createは何かを生み出し
increase, decreaseは成長のプラスとマイナス
cerealはその結果生まれる穀物
というイメージ。&lt;/span&gt;</t>
    <rPh sb="265" eb="266">
      <t>ナニ</t>
    </rPh>
    <phoneticPr fontId="1"/>
  </si>
  <si>
    <t>&lt;span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t>
  </si>
  <si>
    <t>&lt;span class="w"&gt;&lt;b&gt;【46.consist of ~：～で成り立っている】&lt;/b&gt;&lt;/span&gt;
&lt;span class="ml"&gt;&lt;span class="explanation_tag"&gt;語源&lt;/span&gt;
consistは、ラテン語con（しっかり）と、sistere（立つ）が合わさってできた語。「しっかりと立つ」がconsistの核。
&lt;span class="spacer"&gt;&lt;/span&gt;&lt;span class="explanation_tag"&gt;イメージ&lt;/span&gt;
ofは、be made ofやbe composed ofと同様に、構成要素を示す。
&lt;span class="spacer"&gt;&lt;/span&gt;［S consist of A］は、Aという構成要素（of A）があることで、Sがしっかりと立っている（consist）というイメージから、Sが「Aで成り立っている」という意味になる。
&lt;span class="spacer"&gt;&lt;/span&gt;&lt;span class="explanation_tag"&gt;関連語&lt;/span&gt;
［S consist in A］は、SがAの中に（in A）しっかりと立っている（consist）というイメージから、Sは「Aにある」という意味になる。&lt;/span&gt;</t>
  </si>
  <si>
    <t>&lt;span class="w"&gt;&lt;b&gt;【212.as well：〜も】&lt;/b&gt;&lt;/span&gt;
&lt;span class="ml"&gt;&lt;span class="explanation_tag"&gt;イメージ&lt;/span&gt;
A as well as B（BだけではなくAも）から、比較対象を表すas B（Bだけではなく）が消えて、as well（〜も）が残ったと考えればよい。&lt;/span&gt;</t>
  </si>
  <si>
    <t>&lt;span class="w"&gt;&lt;b&gt;【300.give way (to ~)：①（～に）屈する, ②（～に）道を譲る】&lt;/b&gt;&lt;/span&gt;
&lt;span class="ml"&gt;&lt;span class="explanation_tag"&gt;イメージ&lt;/span&gt;
これは直訳すると、②道を（way）譲る（give）という意味になる。そして道を譲るということから、自分の立場を譲る、つまり①「屈する」という意味にもなる。
&lt;span class="spacer"&gt;&lt;/span&gt;道を譲る対象、屈する対象は［to A］で示す。&lt;/span&gt;</t>
  </si>
  <si>
    <t>&lt;span class="w"&gt;&lt;b&gt;【762.see (to it) that ~：〜するように気をつける, 〜するように取り計らう】&lt;/b&gt;&lt;/span&gt;
&lt;span class="ml"&gt;&lt;span class="explanation_tag"&gt;語源&lt;/span&gt;
seeは、1300年頃までに「何かがそのようであること、または誰かが何かをすることを確実にする」という意味が生まれた。
&lt;span class="spacer"&gt;&lt;/span&gt;14世紀後期までには、［see to］で、何かに対して目を配ることから「注意を払う」 「世話をする, 手配する」という意味で使われるようになる。
&lt;span class="spacer"&gt;&lt;/span&gt;そして15世紀後期から、［see to it］で「特別な注意を払う」「それが実行されるようにする、必ずそうなるように取り計らう」という意味になった。
&lt;span class="spacer"&gt;&lt;/span&gt;&lt;span class="explanation_tag"&gt;イメージ&lt;/span&gt;
［see to it that ~］のitは形式主語で、意味上の主語はthat以下の部分。［that ~］に対して（to）目を配り（see）、それが必ず実行されるようにすることから、「〜するように気をつける, 〜するように取り計らう」という意味になる。&lt;/span&gt;</t>
    <phoneticPr fontId="1"/>
  </si>
  <si>
    <t>…,  inasmuch as / in as much as ~</t>
    <phoneticPr fontId="1"/>
  </si>
  <si>
    <t>&lt;span class="w"&gt;&lt;b&gt;【775.…,  inasmuch as / in as much as ~：〜だから…】&lt;/b&gt;&lt;/span&gt;
&lt;span class="ml"&gt;&lt;span class="explanation_tag"&gt;語源&lt;/span&gt;
［inasmuch］は、1300年頃にin als mikelというイングランド北部の方言が記録されている。そこから徐々に短縮されていき、最終的にinasmuchという1語になった。 
&lt;span class="spacer"&gt;&lt;/span&gt;&lt;span class="explanation_tag"&gt;イメージ&lt;/span&gt;
［…, inasmuch / in as much as ~］は、［in］＋［as much as ~］からイメージをつかめばよい。
&lt;span class="spacer"&gt;&lt;/span&gt;直訳すると、「〜と同じ程度（much）の範囲内（in）では…」となる。そこから、「〜の範囲内&lt;strong&gt;にいれば&lt;/strong&gt;…」という制限を表すようになり、さらに「〜の範囲内に&lt;strong&gt;いるから&lt;/strong&gt;…」という理由の表現へと発展した。
&lt;span class="spacer"&gt;&lt;/span&gt;&lt;span class="explanation_tag"&gt;例&lt;/span&gt;
He is a good leader, inasmuch as he listens to our opinions.
&lt;span class="spacer"&gt;&lt;/span&gt;「我々の意見を聞く」と同じ程度の範囲では「よいリーダ」である
&lt;span class="spacer"&gt;&lt;/span&gt;&lt;span class="arrow"&gt;→&lt;/span&gt;「我々の意見を聞く」と同じ範囲であれば「よいリーダ」である
&lt;span class="spacer"&gt;&lt;/span&gt;&lt;span class="arrow"&gt;→&lt;/span&gt;「我々の意見を聞く」と同じ程度の範囲にいるから「よいリーダ」である&lt;/span&gt;</t>
    <phoneticPr fontId="1"/>
  </si>
  <si>
    <t>k</t>
  </si>
  <si>
    <t>&lt;span class="w"&gt;&lt;b&gt;【1493.drastic：抜本的な, 思い切った, 極端な】&lt;/b&gt;&lt;/span&gt;
&lt;span class="ml"&gt;ギリシャ語に由来する語で、以下の2つの要素から成る。
&lt;span class="spacer"&gt;&lt;/span&gt;drāo（行う, 大きな行いをする）
ikos（形容詞化）
&lt;span class="spacer"&gt;&lt;/span&gt;この語の核は「大きな行いをする」。ただ何かを行うのではなく、その「程度が大きい」ということが重要なポイント。
&lt;span class="spacer"&gt;&lt;/span&gt;もともとは薬に関して、強烈な効き目があることを表した。そして、その効果や作用が非常に大きいことから発展して、手段・対策などが状況に大きく作用することを表して「抜本的な, 思い切った, 極端な」という意味になった。
&lt;div class="sample_image drastic"&gt;&lt;/div&gt;&lt;/span&gt;</t>
    <phoneticPr fontId="1"/>
  </si>
  <si>
    <t>&lt;span class="w"&gt;&lt;b&gt;【1499.tidy：きちんとした, 片付いている】&lt;/b&gt;&lt;/span&gt;
&lt;span class="ml"&gt;古英語tīd（時間, 時期, 季節）にさかのぼる。
&lt;span class="spacer"&gt;&lt;/span&gt;潮の満ち引きの「潮」を英語ではtideと言い、tidyと同じ古英語にさかのぼる。どちらも時間や時期に関わる語。
&lt;span class="spacer"&gt;&lt;/span&gt;tidyの核は「時期に合って適切な」。そこから、物があるべき適切な場所に整頓してある様子を表して「片付いている」や、人が「きちんとしている」という意味になった。
&lt;span class="spacer"&gt;&lt;/span&gt;&lt;span class="obsolete"&gt;一方neat（きちんとした, 外見的にきれいな）は、ラテン語nitere（輝く）に由来する。「ピカピカ輝くようにきちんとしている」というイメージから、整っていて外見的に「きちんとした, きれいな」という意味になった。&lt;/span&gt;&lt;/span&gt;</t>
    <phoneticPr fontId="1"/>
  </si>
  <si>
    <t>&lt;span class="w"&gt;&lt;b&gt;【3.a number of 可算名詞：いくつもの～】&lt;/b&gt;&lt;/span&gt;
&lt;span class="ml"&gt;&lt;span class="explanation_tag"&gt;語源&lt;/span&gt;
numberは数や数字という意味が思い浮かぶが、もとになったラテン語numerusは「数, 量」を意味した。
&lt;span class="spacer"&gt;&lt;/span&gt;numberが英語に入ったばかりの頃も「合計, 総量」という意味で使われており、数や数字という意味で使われたのはそれよりも後のこと。
&lt;span class="spacer"&gt;&lt;/span&gt;&lt;span class="explanation_tag"&gt;イメージ&lt;/span&gt;
［a number of］のnumberは、もともとの「合計, 総量」という意味から「まとまった数」だとイメージすればよい。
&lt;span class="spacer"&gt;&lt;/span&gt;不定冠詞aは、「不特定の存在」を意味する。つまり厳密にどれかを特定はできないが、たしかに存在するというイメージ。
&lt;span class="spacer"&gt;&lt;/span&gt;ここから［a number of A］は「あるまとまった数のA」というイメージになる。
&lt;span class="spacer"&gt;&lt;/span&gt;&lt;span class="explanation_tag"&gt;補足①&lt;/span&gt;
まとまった数が中心のイメージなので、
a &lt;strong&gt;small&lt;/strong&gt; number of（少しの）
a &lt;strong&gt;large&lt;/strong&gt; number of（多くの）
のように、numberに程度を示す形容詞を付けることができる。
&lt;span class="spacer"&gt;&lt;/span&gt;&lt;span class="explanation_tag"&gt;補足②&lt;/span&gt;
定冠詞を使った［the number of］だと、抽象的なまとまりではなく、具体的な「数」に焦点が当たるため、意味は「～の数」となる。
&lt;div class="sample_image 2026_3"&gt;&lt;/div&gt;&lt;/span&gt;</t>
    <phoneticPr fontId="1"/>
  </si>
  <si>
    <t>&lt;span class="w"&gt;&lt;b&gt;【4.dozens of ~：数十もの～, 何ダースもの～】&lt;/b&gt;&lt;/span&gt;
&lt;span class="ml"&gt;&lt;span class="explanation_tag"&gt;語源&lt;/span&gt;
dozenは、ラテン語duo（2, デュオ）と、decem（10）が合わさってできた語。このラテン語duoはtwoと、decemはtenと同じ語源にさかのぼる。
&lt;span class="spacer"&gt;&lt;/span&gt;つまりdozenは、do（two, 2）＋zen（ten, 10）で「12」になると考えればよい。
&lt;span class="spacer"&gt;&lt;/span&gt;&lt;span class="explanation_tag"&gt;イメージ&lt;/span&gt;
「1ダース」は「12」を意味する。hundreds of（何百もの）やthousands of（何千もの）と同じで、複数形dozensにして「何ダースもの～」となる。
&lt;span class="spacer"&gt;&lt;/span&gt;またそこから、厳密に「12×n」ではなく、ざっくりと「何十もの」という意味にもなる。
&lt;span class="spacer"&gt;&lt;/span&gt;&lt;span class="explanation_tag"&gt;関連語&lt;/span&gt;
ラテン語decemからは、以下も生まれている。
&lt;span class="spacer"&gt;&lt;/span&gt;December（10番目の月を表す）
deciliter（10分の1リットル）
decade（10年間）
&lt;div class="sample_image 2026_4"&gt;&lt;/div&gt;&lt;/span&gt;</t>
    <phoneticPr fontId="1"/>
  </si>
  <si>
    <t>&lt;span class="w"&gt;&lt;b&gt;【5.plenty of ~：たくさんの～】&lt;/b&gt;&lt;/span&gt;
&lt;span class="ml"&gt;&lt;span class="explanation_tag"&gt;語源&lt;/span&gt;
plentyは、印欧祖語*pele-（満たす）に由来する。何かをいっぱいに満たすことから「豊富さ, 数の多さ」という意味になる。
&lt;span class="spacer"&gt;&lt;/span&gt;&lt;span class="explanation_tag"&gt;イメージ&lt;/span&gt;
［plenty of A］は、Aで満たされているイメージから「たくさんのA」という意味になる。
&lt;span class="spacer"&gt;&lt;/span&gt;&lt;span class="explanation_tag"&gt;関連語&lt;/span&gt;印欧祖語*pele-（満たす）からは、以下も生まれている。
&lt;span class="spacer"&gt;&lt;/span&gt;full（満ちた）
complete（完全に満たす→完成させる）supply（何かを満たす→供給する）
&lt;div class="sample_image 2026_5"&gt;&lt;/div&gt;&lt;/span&gt;</t>
    <phoneticPr fontId="1"/>
  </si>
  <si>
    <t>&lt;span class="w"&gt;&lt;b&gt;【13.up to date：最新の】&lt;/b&gt;&lt;/span&gt;
&lt;span class="ml"&gt;&lt;span class="explanation_tag"&gt;イメージ&lt;/span&gt;
upは限度に達するというイメージで、toは到達点を示す。この2つが合わさってup toは「〜まで達している」を意味する。
&lt;span class="spacer"&gt;&lt;/span&gt;［up to date］で日付が毎日変わる中で「常に現在の日付まで到達している」つまり「最新の」という意味になる。
&lt;div class="sample_image 2026_13"&gt;&lt;/div&gt;&lt;/span&gt;</t>
    <phoneticPr fontId="1"/>
  </si>
  <si>
    <t>&lt;span class="w"&gt;&lt;b&gt;【31.be about to do ~：今にも～しようとしている】&lt;/b&gt;&lt;/span&gt;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aboutが持つ、ピッタリ同じ場所ではないが周囲にあるというイメージから、［be about to do］で、to do（すること）のabout（周囲）にいる、つまり「今にも〜しようとしている」という意味になる。
&lt;div class="sample_image 2026_31"&gt;&lt;/div&gt;&lt;/span&gt;</t>
    <phoneticPr fontId="1"/>
  </si>
  <si>
    <t>&lt;span class="w"&gt;&lt;b&gt;【35.amount to ~：総計〜になる】&lt;/b&gt;&lt;/span&gt;
&lt;span class="ml"&gt;&lt;span class="explanation_tag"&gt;語源&lt;/span&gt;
amountは、ラテン語mount（山）に由来する。
&lt;span class="spacer"&gt;&lt;/span&gt;&lt;span class="explanation_tag"&gt;イメージ&lt;/span&gt;
amount toは、山のように積み上がっていって頂点に到達するというイメージ。そこから「総計〜になる」という意味になる。
&lt;div class="sample_image 2026_35"&gt;&lt;/div&gt;&lt;/span&gt;</t>
    <phoneticPr fontId="1"/>
  </si>
  <si>
    <t>&lt;span class="w"&gt;&lt;b&gt;【58.abound in / with ~：～に富む, 〜で溢れている】&lt;/b&gt;&lt;/span&gt;
&lt;span class="ml"&gt;&lt;span class="explanation_tag"&gt;語源&lt;/span&gt;
aboundは、ラテン語ab（離れて）と、undare（波のように押し寄せる）が合わさってできた語。波が押し寄せて水が溢れ出るように「たくさんある, あふれる」という意味になる。
&lt;div class="sample_image 2026_58"&gt;&lt;/div&gt;&lt;/span&gt;</t>
    <phoneticPr fontId="1"/>
  </si>
  <si>
    <t>&lt;span class="w"&gt;&lt;b&gt;【60.bring about ~：～を引き起こす】&lt;/b&gt;&lt;/span&gt;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［bring about A］で、周囲の状況をぐるりと（about）動かしてAをもたらす（bring）ことから、Aを「引き起こす」という意味になる。
&lt;span class="spacer"&gt;&lt;/span&gt;&lt;span class="explanation_tag"&gt;関連語&lt;/span&gt;
come about：起こる
自動詞comeだと、何かがやってくることから「起こる」になる。
&lt;span class="spacer"&gt;&lt;/span&gt;他動詞bringだと、何かを持ってくることから「〜を引き起こす」となる。
&lt;div class="sample_image 2026_60"&gt;&lt;/div&gt;&lt;/span&gt;</t>
    <phoneticPr fontId="1"/>
  </si>
  <si>
    <t>&lt;span class="w"&gt;&lt;b&gt;【72.figure out ~：～を理解する, 〜を計算する, 〜を解く】&lt;/b&gt;&lt;/span&gt;
&lt;span class="ml"&gt;&lt;span class="explanation_tag"&gt;語源&lt;/span&gt;
figureは、ラテン語のfigura（形）やfigurare（形作る）に由来する。
&lt;span class="spacer"&gt;&lt;/span&gt;名詞figureは、輪郭のある「姿」やその姿をした「人物」そのもの、数やイメージを形で表した「数字」や「図表」を意味する。
&lt;span class="spacer"&gt;&lt;/span&gt;動詞figureも核は「形」であり、頭の中の考えをはっきりとした形にすることから「形にする」「思う, 考える」「計算する, 解く」といった意味になる。
&lt;span class="spacer"&gt;&lt;/span&gt;&lt;span class="explanation_tag"&gt;イメージ&lt;/span&gt;
figure outは、頭の中のモヤモヤしたものが、ハッキリとした形を持ち（figure）外に出る（out）というイメージ。そこから、ごちゃごちゃしたものを「理解する, 計算する, 解く」などの意味になる。
&lt;div class="sample_image 2026_72"&gt;&lt;/div&gt;&lt;/span&gt;</t>
    <phoneticPr fontId="1"/>
  </si>
  <si>
    <t>&lt;span class="w"&gt;&lt;b&gt;【73.turn out ~：〜だとわかる, 結果的に～になる, 〜を産出する, 催しなどに繰り出す】&lt;/b&gt;&lt;/span&gt;
&lt;span class="ml"&gt;&lt;span class="explanation_tag"&gt;イメージ&lt;/span&gt;
動詞turnは、向きを変えるというイメージ。ここにout（外に）が付くことで、turn outは、向きを変えて（内から）外に出てくるというイメージになる。
&lt;span class="spacer"&gt;&lt;/span&gt;最初の予想や考えから向きを変えて、結果が外に出てくることから「〜だとわかる」。
&lt;span class="spacer"&gt;&lt;/span&gt;結果が出ていないことから結果が出てきて「結果的に〜になる」。
&lt;span class="spacer"&gt;&lt;/span&gt;どこかからイベントなどへ向きを変えて出てくるなら「繰り出す, 出ていく」。
&lt;span class="spacer"&gt;&lt;/span&gt;社内にある製品などを向きを変えて世の中に出すなら「産出する, 作り出す」。
&lt;div class="sample_image 2026_73"&gt;&lt;/div&gt;&lt;/span&gt;</t>
    <phoneticPr fontId="1"/>
  </si>
  <si>
    <t>&lt;span class="w"&gt;&lt;b&gt;【74.fill out ~：～に書き込む】&lt;/b&gt;&lt;/span&gt;
&lt;span class="ml"&gt;&lt;span class="explanation_tag"&gt;語源&lt;/span&gt;
fillは、形容詞full（いっぱいの, 満ちた）の語源である原始ゲルマン語*fullazから派生した*fulljanan（満たす）にさかのぼる。
&lt;span class="spacer"&gt;&lt;/span&gt;あくまで覚え方としてだが、full（いっぱいの, 満ちた）が動詞になってfill（満たす）になったと思えばよい。
&lt;span class="spacer"&gt;&lt;/span&gt;&lt;span class="explanation_tag"&gt;イメージ&lt;/span&gt;
outは、外の限界まで進んでいくイメージから「最後まで完全に」というイメージ。
fill outは、紙の最初の部分から最後の端っこまで満たしていくことから「〜に書き込む, 書き込んで埋める」という意味になる。
&lt;div class="sample_image 2026_74"&gt;&lt;/div&gt;&lt;/span&gt;</t>
    <phoneticPr fontId="1"/>
  </si>
  <si>
    <t>&lt;span class="w"&gt;&lt;b&gt;【77.work on ~：①働き続ける, ②〜に取り組む, 〜を手がける, 〜を手入れする, （薬などが）〜に効く】&lt;/b&gt;&lt;/span&gt;
&lt;span class="ml"&gt;&lt;span class="explanation_tag"&gt;イメージ①&lt;/span&gt;
①のonは「継続」を表す副詞。work（労力を使う, 作業をする）とon（継続）なので、「働き続ける」という意味になる。この場合はonの後に目的語がない。
&lt;span class="spacer"&gt;&lt;/span&gt;&lt;span class="explanation_tag"&gt;イメージ②&lt;/span&gt;
②のonは前置詞で、労力を向ける対象を示す。何かに対して労力を使うことから、「取り組む」「手がける」「手入れする」といった意味になる。
&lt;span class="spacer"&gt;&lt;/span&gt;また何かが対象に効力を向けることから、「〜に作用する, 影響を与える, 効く」といった意味にもなる。
&lt;span class="spacer"&gt;&lt;/span&gt;②の意味に関しては、一つひとつバラバラに覚えるのは難しいので、work on 対象は「対象に労力や効力を向ける」というイメージで覚えておくとよい。
&lt;div class="sample_image 2026_77"&gt;&lt;/div&gt;&lt;/span&gt;</t>
    <phoneticPr fontId="1"/>
  </si>
  <si>
    <t>&lt;span class="w"&gt;&lt;b&gt;【109.prefer A to B：BよりもAを好む】&lt;/b&gt;&lt;/span&gt;
&lt;span class="ml"&gt;&lt;span class="explanation_tag"&gt;語源&lt;/span&gt;
preferは、ラテン語pre（前に）と、ferre（運ぶ）が合わさってできた語。何かを（他よりも）前に運ぶことから、他のものよりも「好む」という意味になる。
&lt;span class="spacer"&gt;&lt;/span&gt;&lt;span class="explanation_tag"&gt;イメージ&lt;/span&gt;
preferは、ラテン語の「前に運ぶ」という空間的位置関係を表す語に由来することから、比較対象をtoで示す。
&lt;span class="spacer"&gt;&lt;/span&gt;Bに対して（to）Aを前に出すことから、心理的に「BよりAを好む」という意味になる。
&lt;span class="spacer"&gt;&lt;/span&gt;［prefer A］：Aを前に出す（好む）
&lt;span class="arrow"&gt;→&lt;/span&gt;何を基準として「前」？
&lt;span class="arrow"&gt;→&lt;/span&gt;［to B］：Bの位置を基準に「前」
&lt;span class="spacer"&gt;&lt;/span&gt;&lt;span class="explanation_tag"&gt;補足&lt;/span&gt;
ラテン語由来の比較のニュアンスが含まれる語は、比較対象をtoで示す。それらの語が、もともとは空間や時間的な位置関係を表したことから、to（〜に対して）で基準を表すため。
superior to A：Aより上＝優れている
inferior to A：Aより下＝劣っている
prior to A：Aより前＝優先する
&lt;div class="sample_image 2026_109"&gt;&lt;/div&gt;&lt;/span&gt;</t>
    <phoneticPr fontId="1"/>
  </si>
  <si>
    <t>&lt;span class="w"&gt;&lt;b&gt;【111.prevent A from B：AがBするのを妨げる, AをBから防ぐ】&lt;/b&gt;&lt;/span&gt;
&lt;span class="ml"&gt;&lt;span class="explanation_tag"&gt;語源&lt;/span&gt;
preventは、ラテン語pare（前に）と、venir（来る）が合わさってできた語。何かが起こる前にその場所に来て対処することから「妨げる, 防ぐ」という意味になった。
&lt;span class="explanation_tag"&gt;イメージ&lt;/span&gt;
［prevent A from B］は、Aの行き先に先回りし、AをBと接触させないイメージ。そこから「AがBするのを妨げる, AをBから防ぐ」という意味になる。
&lt;div class="sample_image 2026_111"&gt;&lt;/div&gt;&lt;/span&gt;</t>
    <phoneticPr fontId="1"/>
  </si>
  <si>
    <t>&lt;span class="w"&gt;&lt;b&gt;【130.at all：①（否定文）全く〜ない, ②（疑問文）そもそも・少しでも, ③（条件文・肯定文）そもそも・少しでも】&lt;/b&gt;&lt;/span&gt;
&lt;span class="ml"&gt;&lt;span class="explanation_tag"&gt;イメージ&lt;/span&gt;
at allは、直訳すると「あらゆる点で」という全範囲を表す。この「全体感」を文に付け加えることによって、以下のようになる。
［0＜at all≦100］において
否定文：at allを否定＝ゼロ
疑問文：at allを疑問視＝ゼロではないかと思う
条件文：at all内を条件とする＝ゼロではないなら
&lt;span class="spacer"&gt;&lt;/span&gt;&lt;b&gt;①否定の強調&lt;/b&gt;
［0＜at all≦100］のat allを否定すると、0より大きく100以下すべてが否定されるので、結果は「0」となる。つまり「全く〜ない」という全否定になる。
&lt;span class="spacer"&gt;&lt;/span&gt;I don't mind at all.
私は全く気にしていません（気にしている度合いゼロです）。
&lt;span class="spacer"&gt;&lt;/span&gt;&lt;b&gt;②疑問の強調&lt;/b&gt;
［0＜at all≦100］のat allを疑問に思うと、0より大きく100以下すべてが疑問視されるので、本当は「0なのではないか」と思っている。つまり「そもそも〜ですか」や「少しは〜ですか」という、ゼロを前提にした根本的な問いになる。
&lt;span class="spacer"&gt;&lt;/span&gt;Do you understand it at all?
そもそも理解していますか（理解度ゼロではないですか）。
&lt;span class="spacer"&gt;&lt;/span&gt;Did you sleep at all last night?
昨夜少しは寝ましたか（本当は全然寝ていないのではないですか）。
&lt;span class="spacer"&gt;&lt;/span&gt;&lt;b&gt;③肯定の条件の強調&lt;/b&gt;
［0＜at all≦100］のat all内に含まれることを条件にすると、0でなければ何でもいい。そこから、ゼロでないなら、つまり「そもそも〜なら」や「少しでも〜なら」という0より大きいことが前提の条件になる。
&lt;span class="spacer"&gt;&lt;/span&gt;If you're going to do it at all, 〜
少しでもやるつもりがあるなら（ゼロではないなら）
そもそもやるつもりがあるなら（ゼロではないなら）
&lt;div class="sample_image 2026_130"&gt;&lt;/div&gt;&lt;/span&gt;</t>
    <phoneticPr fontId="1"/>
  </si>
  <si>
    <t>&lt;span class="w"&gt;&lt;b&gt;【139.by the way：ところで】&lt;/b&gt;&lt;/span&gt;
&lt;span class="ml"&gt;&lt;span class="explanation_tag"&gt;語源&lt;/span&gt;
by the wayは古英語（500-1100年）から見られる。当時は、実際の「道のそばに」という直訳通りの意味だった。
&lt;span class="spacer"&gt;&lt;/span&gt;1550年代までに、実際の道のそばではなく、会話自体を道に見立てた、話のわき道という比喩的な使い方がされるようになる。
&lt;span class="spacer"&gt;&lt;/span&gt;そして1610年代までに、会話という一本の道を進む中で、メインの話題（the way）からそば（by）にある話題へ移ることを表して「ところで」という意味になった。
&lt;span class="spacer"&gt;&lt;/span&gt;&lt;span class="explanation_tag"&gt;イメージ&lt;/span&gt;
by the wayの文字通りのイメージは、本道をまっすぐ歩きながら、ふと道のわき（そば, by）に目を向ける感じ。
&lt;span class="spacer"&gt;&lt;/span&gt;そこから会話において、会話という道を進みながら「本筋からは逸れるけど、道の脇（by the way）にこんな話題があるよ」と拾い上げるようなイメージから「ところで」という話題転換になる。
&lt;div class="sample_image 2026_139"&gt;&lt;/div&gt;&lt;/span&gt;</t>
    <phoneticPr fontId="1"/>
  </si>
  <si>
    <t>&lt;span class="w"&gt;&lt;b&gt;【140.far from ~：〜から程遠い, 〜どころではない】&lt;/b&gt;&lt;/span&gt;
&lt;span class="ml"&gt;&lt;span class="explanation_tag"&gt;イメージ&lt;/span&gt;
［far from A］は、物理的に距離が遠いことから比喩的に、真実やある状態からかけ離れていることを表して「Aから程遠い, Aどころではない」という意味になった。
&lt;div class="sample_image 2026_140"&gt;&lt;/div&gt;&lt;/span&gt;</t>
    <phoneticPr fontId="1"/>
  </si>
  <si>
    <t>&lt;span class="w"&gt;&lt;b&gt;【161.so far：今までのところ】&lt;/b&gt;&lt;/span&gt;
&lt;span class="ml"&gt;&lt;span class="explanation_tag"&gt;イメージ&lt;/span&gt;
もともとは「これほど遠く」という、たどってきた物理的な距離を表す表現だった。その距離の長さが時間の長さへと変化して、流れてきたいま現在までの時間＝「今までのところ」という意味になった。
&lt;div class="sample_image 2026_161"&gt;&lt;/div&gt;&lt;/span&gt;</t>
    <phoneticPr fontId="1"/>
  </si>
  <si>
    <t>&lt;span class="w"&gt;&lt;b&gt;【164.according to ~：①〜によれば, ②〜に従って】&lt;/b&gt;&lt;/span&gt;
&lt;span class="ml"&gt;&lt;span class="explanation_tag"&gt;語源&lt;/span&gt;
動詞accordは、ラテン語ad（〜へ）と、cor（心）が合わさってできた語。相手の心に自分の心を合わせるイメージから「一致する」という意味になる。
&lt;span class="spacer"&gt;&lt;/span&gt;［according to A］は、14世紀後期から見られる表現。
&lt;span class="spacer"&gt;&lt;/span&gt;&lt;span class="explanation_tag"&gt;イメージ&lt;/span&gt;
accordの核は「一致する」という意味なので、［according to A］は、「Aと一致すると」と考えればよい。
&lt;span class="spacer"&gt;&lt;/span&gt;①「Aによれば」
According to this article
この記事&lt;strong&gt;と一致すると&lt;/strong&gt;
＝この記事&lt;strong&gt;によると&lt;/strong&gt;
&lt;span class="spacer"&gt;&lt;/span&gt;②「Aに従って」
If all goes according to plan
もし全てが計画&lt;strong&gt;と一致して&lt;/strong&gt;進めば
もし全てが計画&lt;strong&gt;に従って&lt;/strong&gt;進めば
&lt;div class="sample_image 2026_164"&gt;&lt;/div&gt;&lt;/span&gt;</t>
    <phoneticPr fontId="1"/>
  </si>
  <si>
    <t>&lt;span class="w"&gt;&lt;b&gt;【181.bring up ~：①〜を育てる, ②（問題・話題など）を持ち出す】&lt;/b&gt;&lt;/span&gt;
&lt;span class="ml"&gt;&lt;span class="spacer"&gt;&lt;/span&gt;&lt;span class="explanation_tag"&gt;イメージ&lt;/span&gt;
［bring up A］は、単語の意味通りに「下から上に持ってくる」というイメージ。
&lt;span class="spacer"&gt;&lt;/span&gt;子どもの身長や能力などを上げることから、「育てる」という意味になる。
&lt;span class="spacer"&gt;&lt;/span&gt;また、ある話題を持ち上げて話の場に置くことから、問題や話題を「持ち出す」という意味になる。
&lt;span class="spacer"&gt;&lt;/span&gt;&lt;span class="explanation_tag"&gt;補足&lt;/span&gt;
bring ~ upの語順にもなる。
&lt;div class="sample_image 2026_181"&gt;&lt;/div&gt;&lt;/span&gt;</t>
    <phoneticPr fontId="1"/>
  </si>
  <si>
    <t>&lt;span class="w"&gt;&lt;b&gt;【182.call off ~：〜を中止する, 〜を取り消す】&lt;/b&gt;&lt;/span&gt;
&lt;span class="ml"&gt;&lt;span class="explanation_tag"&gt;イメージ&lt;/span&gt;
これは、声に出して（call）対象を切り離す（off）というイメージ。これからしようとしていることや、現在進行中のものを現在の出来事から分離することから、「中止する」や「取り消す」といった意味になる。
&lt;span class="spacer"&gt;&lt;/span&gt;重要なのは、offという分離をコール（宣言）するイメージ。
&lt;span class="spacer"&gt;&lt;/span&gt;&lt;span class="explanation_tag"&gt;補足&lt;/span&gt;
call ~ offの語順にもなる。
&lt;span class="spacer"&gt;&lt;/span&gt;&lt;span class="explanation_tag"&gt;関連語&lt;/span&gt;
cancel
&lt;div class="sample_image 2026_182"&gt;&lt;/div&gt;&lt;/span&gt;</t>
    <phoneticPr fontId="1"/>
  </si>
  <si>
    <t>&lt;span class="w"&gt;&lt;b&gt;【184.come about：起こる】&lt;/b&gt;&lt;/span&gt;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［come about］で、周囲の状況がぐるりと（about）変化して、それまでと違う事態がやってくる（come）ことから、何かが「起こる」という意味になる。
&lt;span class="spacer"&gt;&lt;/span&gt;&lt;span class="explanation_tag"&gt;関連語&lt;/span&gt;
happen
occur
&lt;span class="spacer"&gt;&lt;/span&gt;bring about A：Aを引き起こす
他動詞bringだと、何かを持ってくることから「〜を引き起こす」となる。
&lt;span class="spacer"&gt;&lt;/span&gt;自動詞comeだと、何かがやってくることから「起こる」になる。
&lt;div class="sample_image 2026_184"&gt;&lt;/div&gt;&lt;/span&gt;</t>
    <phoneticPr fontId="1"/>
  </si>
  <si>
    <t>&lt;span class="w"&gt;&lt;b&gt;【185.come by ~：〜を手に入れる】&lt;/b&gt;&lt;/span&gt;
&lt;span class="ml"&gt;&lt;span class="explanation_tag"&gt;イメージ&lt;/span&gt;
何かが自分の手の届く近くに（by）来る（come）ことから「手に入れる」という意味になる。
&lt;span class="spacer"&gt;&lt;/span&gt;&lt;span class="explanation_tag"&gt;関連語&lt;/span&gt;
get
obtain
&lt;div class="sample_image 2026_185"&gt;&lt;/div&gt;&lt;/span&gt;</t>
    <phoneticPr fontId="1"/>
  </si>
  <si>
    <t>&lt;span class="w"&gt;&lt;b&gt;【186.come up with ~：〜を思いつく】&lt;/b&gt;&lt;/span&gt;
&lt;span class="ml"&gt;&lt;span class="explanation_tag"&gt;イメージ&lt;/span&gt;
知恵を振り絞った結果、ある考えや方法を携えて（with）頭にポンッと（up）やって来る（come）イメージから、何かを「思いつく」という意味になる。
&lt;span class="spacer"&gt;&lt;/span&gt;&lt;span class="explanation_tag"&gt;関連語&lt;/span&gt;
conceive（思いつく）
invent（発明する）
devise（考案する）
&lt;div class="sample_image 2026_186"&gt;&lt;/div&gt;&lt;/span&gt;</t>
    <phoneticPr fontId="1"/>
  </si>
  <si>
    <t>&lt;span class="w"&gt;&lt;b&gt;【187.do away with ~：〜を廃止する, 〜を取り除く】&lt;/b&gt;&lt;/span&gt;
&lt;span class="ml"&gt;&lt;span class="explanation_tag"&gt;語源&lt;/span&gt;
doは、古英語donにさかのぼる。donには、現代の「行う」という意味のほかに「置く, 配置する」という意味があった。この意味は現代のdo単体には残っていないが、do away withのようなフレーズに残っている。
&lt;span class="spacer"&gt;&lt;/span&gt;&lt;span class="explanation_tag"&gt;イメージ&lt;/span&gt;
［do away with A］のdoは「置く」という古い意味を残した表現。Aを携えて（with A）遠くに（away）置く（do）ことから、不要なものを「取り除く」や、不要なルール・制度を「廃止する」という意味になる。
&lt;span class="spacer"&gt;&lt;/span&gt;&lt;span class="explanation_tag"&gt;関連語&lt;/span&gt;
abolish（廃止する）
eliminate（排除する）
get rid of ~（〜を取り除く）
&lt;div class="sample_image 2026_187"&gt;&lt;/div&gt;&lt;/span&gt;</t>
    <phoneticPr fontId="1"/>
  </si>
  <si>
    <t>&lt;span class="w"&gt;&lt;b&gt;【192.look into ~：〜を調査する】&lt;/b&gt;&lt;/span&gt;
&lt;span class="ml"&gt;&lt;span class="explanation_tag"&gt;イメージ&lt;/span&gt;
lookは視線を動かすイメージ。
［look into A］は、Aの表面ではなく内部深くに（into）視線を向ける（look）ことから、「Aを調べる」という意味になる。
&lt;div class="sample_image 2026_192"&gt;&lt;/div&gt;&lt;/span&gt;</t>
    <phoneticPr fontId="1"/>
  </si>
  <si>
    <t>&lt;span class="w"&gt;&lt;b&gt;【193.look over ~：〜を（ざっと）調べる】&lt;/b&gt;&lt;/span&gt;
&lt;span class="ml"&gt;&lt;span class="explanation_tag"&gt;イメージ&lt;/span&gt;
lookは視線を動かすイメージ。
［look over A］は、Aの端から端まで全体（over）に視線を向ける（look）ことから、「Aをざっと調べる」という意味になる。
&lt;span class="spacer"&gt;&lt;/span&gt;&lt;span class="explanation_tag"&gt;補足&lt;/span&gt;
look ~ overの語順にもなる。
&lt;div class="sample_image 2026_193"&gt;&lt;/div&gt;&lt;/span&gt;</t>
    <phoneticPr fontId="1"/>
  </si>
  <si>
    <t>&lt;span class="w"&gt;&lt;b&gt;【195.put off ~：〜を延期する】&lt;/b&gt;&lt;/span&gt;
&lt;span class="ml"&gt;&lt;span class="explanation_tag"&gt;イメージ&lt;/span&gt;
offは「分離」を表す。
［put off A］は、Aをある時点から切り離して（off）置く（put）ことから、「Aを延期する」という意味になる。
&lt;span class="spacer"&gt;&lt;/span&gt;&lt;span class="explanation_tag"&gt;補足&lt;/span&gt;
put ~ offの語順にもなる。
&lt;span class="spacer"&gt;&lt;/span&gt;&lt;span class="explanation_tag"&gt;関連語&lt;/span&gt;
pospone（延期する）
&lt;div class="sample_image 2026_195"&gt;&lt;/div&gt;&lt;/span&gt;</t>
    <phoneticPr fontId="1"/>
  </si>
  <si>
    <t>&lt;span class="w"&gt;&lt;b&gt;【197.put up ~：①〜を掲げる, 〜を建てる, ②〜を泊める】&lt;/b&gt;&lt;/span&gt;
&lt;span class="ml"&gt;&lt;span class="explanation_tag"&gt;イメージ&lt;/span&gt;
［put up A］は、Aを下から上に置くイメージ。
&lt;span class="spacer"&gt;&lt;/span&gt;Aを持ち上げて置くことから、①「Aを掲げる」という意味になる。
&lt;span class="spacer"&gt;&lt;/span&gt;また物を積み上げて置くイメージから、②「Aを建てる」という意味になる。
&lt;span class="spacer"&gt;&lt;/span&gt;外にいる人を家の中へ上げるイメージから、③「Aを泊める」という意味になる。
&lt;span class="spacer"&gt;&lt;/span&gt;&lt;span class="explanation_tag"&gt;補足&lt;/span&gt;
put ~ upの語順にもなる。
&lt;div class="sample_image 2026_197"&gt;&lt;/div&gt;&lt;/span&gt;</t>
    <phoneticPr fontId="1"/>
  </si>
  <si>
    <t>&lt;span class="w"&gt;&lt;b&gt;【198.put up with ~：〜を我慢する】&lt;/b&gt;&lt;/span&gt;
&lt;span class="ml"&gt;&lt;span class="explanation_tag"&gt;イメージ&lt;/span&gt;
［put up］は、「掲げる, 建てる, 泊める」といった何かを上に上げて、その状態を維持するイメージがある。
&lt;span class="spacer"&gt;&lt;/span&gt;そこから［put up with A］は、Aを持ったまま（with A）その状態を維持する（put up）イメージになり、「Aを我慢する」という意味になる。
&lt;div class="sample_image 2026_198"&gt;&lt;/div&gt;&lt;/span&gt;</t>
    <phoneticPr fontId="1"/>
  </si>
  <si>
    <t>&lt;span class="w"&gt;&lt;b&gt;【199.set about ~：〜を始める】&lt;/b&gt;&lt;/span&gt;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［set about A］は、周辺にあるA（about A）に関して、自分自身をセット（set）して、それに取りかかるようにするイメージから、「Aを始める」という意味になる。
&lt;span class="spacer"&gt;&lt;/span&gt;&lt;span class="explanation_tag"&gt;関連語&lt;/span&gt;
［set in］
何かが中に入り込んで（in）固定される（set）イメージから、天気・季節・ネガティブな感情や状態などが「始まる」という意味になる。
&lt;div class="sample_image 2026_199"&gt;&lt;/div&gt;&lt;/span&gt;</t>
    <phoneticPr fontId="1"/>
  </si>
  <si>
    <t>&lt;span class="w"&gt;&lt;b&gt;【200.set in：始まる】&lt;/b&gt;&lt;/span&gt;
&lt;span class="ml"&gt;&lt;span class="explanation_tag"&gt;イメージ&lt;/span&gt;
［set in］は、何かが中に入り込んで（in）固定される（set）イメージから、天気・季節・ネガティブな感情や状態などが「始まる」という意味になる。
&lt;span class="spacer"&gt;&lt;/span&gt;&lt;span class="explanation_tag"&gt;関連語&lt;/span&gt;
［set about A］
周辺にあるA（about A）に関して、自分自身をセット（set）して、それに取りかかるようにするイメージから、Aを「始める」という意味になる。
&lt;div class="sample_image 2026_200"&gt;&lt;/div&gt;&lt;/span&gt;</t>
    <phoneticPr fontId="1"/>
  </si>
  <si>
    <t>&lt;span class="w"&gt;&lt;b&gt;【201.take after〈人〉：〈人〉に似ている】&lt;/b&gt;&lt;/span&gt;
&lt;span class="ml"&gt;&lt;span class="explanation_tag"&gt;イメージ&lt;/span&gt;
［S take after〈人〉］は、自分よりも年上の血縁者の要素を、後に（after）いるSが引き受ける（take）というイメージから、Sは「〈人〉に似ている」という意味になる。
&lt;span class="spacer"&gt;&lt;/span&gt;先に生まれた者の外見・性格・才能などを&lt;strong&gt;遺伝的に&lt;/strong&gt;受け継ぐという表現なので、&lt;strong&gt;血縁者&lt;/strong&gt;に対して使用する。
&lt;span class="spacer"&gt;&lt;/span&gt;&lt;span class="explanation_tag"&gt;関連語&lt;/span&gt;
resemble（似ている）
こちらはあらゆるものに対して「似ている」という意味で使える。
&lt;div class="sample_image 2026_201"&gt;&lt;/div&gt;&lt;/span&gt;</t>
    <phoneticPr fontId="1"/>
  </si>
  <si>
    <t>&lt;span class="w"&gt;&lt;b&gt;【203.along with ~：〜に加えて, 〜と一緒に】&lt;/b&gt;&lt;/span&gt;
&lt;span class="ml"&gt;&lt;span class="explanation_tag"&gt;イメージ&lt;/span&gt;
［along with A］は、Aがくっついて（with）流れに沿って（along）いくようなイメージから、「Aに加えて, 一緒に」という意味になる。
&lt;div class="sample_image 2026_203"&gt;&lt;/div&gt;&lt;/span&gt;</t>
    <phoneticPr fontId="1"/>
  </si>
  <si>
    <t>&lt;span class="w"&gt;&lt;b&gt;【205.on board (~)：（乗り物に）乗って】&lt;/b&gt;&lt;/span&gt;
&lt;span class="ml"&gt;&lt;span class="explanation_tag"&gt;語源&lt;/span&gt;
boardは、古英語bord（縁, へり, 船の側面）にさかのぼる。
［on board］は1500年頃からみられ、もともとは航海用語で、船を別の船の横（側面）につけることを表した。その後、1708年に「乗って」という意味になった。
&lt;span class="spacer"&gt;&lt;/span&gt;この意味の変化の理由は、船を横づけして別の船に乗る、aboard（乗っている）の影響、boardが木の板＝船の甲板の上にいると捉えられた、などが考えられる。
&lt;span class="spacer"&gt;&lt;/span&gt;現在では、船に限らず、さまざまな乗り物に対して使われる。
&lt;div class="sample_image 2026_205"&gt;&lt;/div&gt;&lt;/span&gt;</t>
    <phoneticPr fontId="1"/>
  </si>
  <si>
    <t>&lt;span class="w"&gt;&lt;b&gt;【206.prior to ~：〜より前に】&lt;/b&gt;&lt;/span&gt;
&lt;span class="ml"&gt;&lt;span class="explanation_tag"&gt;語源&lt;/span&gt;
priorは、ラテン語pri（前に）と、-or（比較級を作る）が合わさってできた語。何かに対して（to）時間的により（-or）前（pri）にあることから、何かより「前に」という意味になる。
&lt;span class="spacer"&gt;&lt;/span&gt;&lt;span class="explanation_tag"&gt;補足&lt;/span&gt;
ラテン語由来の比較のニュアンスが含まれる語は、比較対象をtoで示す。それらの語が、もともとは空間や時間的な位置関係を表したことから、to（〜に対して）で位置の基準を表すため。
superior to A：Aより上＝優れている
inferior to A：Aより下＝劣っている
prior to A：Aより前＝優先する
&lt;div class="sample_image 2026_206"&gt;&lt;/div&gt;&lt;/span&gt;</t>
    <phoneticPr fontId="1"/>
  </si>
  <si>
    <t>&lt;span class="w"&gt;&lt;b&gt;【207.(every) once in a while：ときどき】&lt;/b&gt;&lt;/span&gt;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class="spacer"&gt;&lt;/span&gt;この名詞としての意味は、ほとんどtimeに代わられてしまったが、一部のフレーズに残っている。その一つが(every) once in a whileである。
&lt;span class="spacer"&gt;&lt;/span&gt;［(every) once in a while］は、ある時間の中に（in a while）一度（once）を表し、そのある時間がいくつもある（every）ことから「ときどき」という意味になる。
&lt;div class="sample_image 2026_207"&gt;&lt;/div&gt;&lt;/span&gt;</t>
    <phoneticPr fontId="1"/>
  </si>
  <si>
    <t>&lt;span class="w"&gt;&lt;b&gt;【208.above all (else)：とりわけ, 特に】&lt;/b&gt;&lt;/span&gt;
&lt;span class="ml"&gt;&lt;span class="explanation_tag"&gt;語源&lt;/span&gt;
aboveは、古英語a＋be＋ufanが合わさってできた語。現代英語にすると、on（〜に）＋by（側）＋up（高いところに）となる。つまりaboveは「高いところに」というニュアンス。
&lt;span class="spacer"&gt;&lt;/span&gt;&lt;span class="explanation_tag"&gt;イメージ&lt;/span&gt;
［above all］は、直訳すれば「全ての上に」となる。つまり重要度において、他のあらゆるものよりも上にあることから「何よりも, とりわけ, 特に」といった意味になる。
&lt;div class="sample_image 2026_208"&gt;&lt;/div&gt;&lt;/span&gt;</t>
    <phoneticPr fontId="1"/>
  </si>
  <si>
    <t>&lt;span class="w"&gt;&lt;b&gt;【210.all / just the same：それでもやはり】&lt;/b&gt;&lt;/span&gt;
&lt;span class="ml"&gt;&lt;span class="explanation_tag"&gt;イメージ&lt;/span&gt;
［all / just tha same］は、the sameをall / justが強調しているだけ。全体を表すallの完全な感じや、まさにちょうどを表すjustの正確さが、程度の強調へとつながっていく。
&lt;span class="spacer"&gt;&lt;/span&gt;伝えたいことは「全く同じで変わらない」ということ。つまり、Aということがあっても、Bであることは全く同じで変わらない、というのがこの表現の核。
&lt;span class="spacer"&gt;&lt;/span&gt;I’m tired, but I’ll go  &lt;strong&gt;all the same&lt;/strong&gt;.
A：疲れている
B：私は行く
A「疲れている」という前提があっても、B「私は行く」ということは全く同じで変わらない。
&lt;span class="spacer"&gt;&lt;/span&gt;だから日本語訳が「疲れているけれど、&lt;strong&gt;それでも&lt;/strong&gt;私は行く」となる。
&lt;div class="sample_image 2026_210"&gt;&lt;/div&gt;&lt;/span&gt;</t>
    <phoneticPr fontId="1"/>
  </si>
  <si>
    <t>&lt;span class="w"&gt;&lt;b&gt;【213.before long：まもなく】&lt;/b&gt;&lt;/span&gt;
&lt;span class="ml"&gt;&lt;span class="explanation_tag"&gt;イメージ&lt;/span&gt;
［before long］は、before (a) long (time) と考えればよい。何かが起こるまでの時間が長くなる前に＝「まもなく」という意味になる。
&lt;div class="sample_image 2026_213"&gt;&lt;/div&gt;&lt;/span&gt;</t>
    <phoneticPr fontId="1"/>
  </si>
  <si>
    <t>&lt;span class="w"&gt;&lt;b&gt;【214.by degrees：徐々に】&lt;/b&gt;&lt;/span&gt;
&lt;span class="ml"&gt;&lt;span class="explanation_tag"&gt;語源&lt;/span&gt;
degreeは、ラテン語de（下に）と、gradus（一歩）が合わさってできた語。一歩ずつ上り下りする段から「段階, 度合い」といった意味になる。
&lt;span class="spacer"&gt;&lt;/span&gt;&lt;span class="explanation_tag"&gt;イメージ&lt;/span&gt;
byは、one by one（一つずつ）やstep by step（一歩ずつ）のように「〜ずつ」という単位を表す。
&lt;span class="spacer"&gt;&lt;/span&gt;そこに複数形degreesが付いて、各段階ごとに＝「徐々に」という意味になる。
&lt;div class="sample_image 2026_214"&gt;&lt;/div&gt;&lt;/span&gt;</t>
    <phoneticPr fontId="1"/>
  </si>
  <si>
    <t>&lt;span class="w"&gt;&lt;b&gt;【215.for good：永久に】&lt;/b&gt;&lt;/span&gt;
&lt;span class="ml"&gt;&lt;span class="spacer"&gt;&lt;/span&gt;&lt;span class="explanation_tag"&gt;語源&lt;/span&gt;
［for good］は1711年から確認されるが、これは16世紀のfor good and allのand allが省略されたもの。このgoodは「完全」を意味する。
&lt;span class="spacer"&gt;&lt;/span&gt;goodは、いまでは「良い」という意味が真っ先に出るが、英語よりさらに前の祖先言語にさかのぼると「適している, ふさわしい」という意味だったと考えられる。
&lt;span class="spacer"&gt;&lt;/span&gt;何かにぴったり合っているという根本のイメージから「完全に」という意味が出てくる。そして、ぴったり合っていることから望ましくて「良い」という意味にもなる。
&lt;span class="spacer"&gt;&lt;/span&gt;［for good and all］は、直訳すると「完全かつ全体の」という意味になる。これは、何かが完全な形で完結しており、それ以上変化のしようがない状態を表す。
&lt;span class="spacer"&gt;&lt;/span&gt;もう変化することがないということは、その完全な形がずっと続くということ。そこから「永久の」という意味になった。
&lt;div class="sample_image 2026_215"&gt;&lt;/div&gt;&lt;/span&gt;</t>
    <phoneticPr fontId="1"/>
  </si>
  <si>
    <t>&lt;span class="w"&gt;&lt;b&gt;【218.in advance：前もって, あらかじめ】&lt;/b&gt;&lt;/span&gt;
&lt;span class="ml"&gt;&lt;span class="explanation_tag"&gt;語源&lt;/span&gt;
advanceは、ラテン語ab（〜から）と、ante（前に）が合わさってできた語。実際にある地点から前に進んでいくことだけではなく、時間的に前にいることも表すようになった。
&lt;span class="spacer"&gt;&lt;/span&gt;&lt;span class="explanation_tag"&gt;イメージ&lt;/span&gt;
［in advance］は、時間的に前（advance）の状態にいる（in）ことから「前もって, あらかじめ」という意味になる。
&lt;div class="sample_image 2026_218"&gt;&lt;/div&gt;&lt;/span&gt;</t>
    <phoneticPr fontId="1"/>
  </si>
  <si>
    <t>&lt;span class="w"&gt;&lt;b&gt;【220.in particular：特に】&lt;/b&gt;&lt;/span&gt;
&lt;span class="ml"&gt;&lt;span class="explanation_tag"&gt;語源&lt;/span&gt;
particularは、ラテン語pars（部分）と、cula（小さいことを表す）が合わさってできた語。全体ではなく小さい部分に目を向けることから「特定の」という意味になる。
&lt;span class="spacer"&gt;&lt;/span&gt;&lt;span class="explanation_tag"&gt;イメージ&lt;/span&gt;
［in particular］は、全体ではなく、特定のもの（particular）に焦点を当てた状態にいる（in）という感じ。そこから「特に」という意味になる。
&lt;div class="sample_image 2026_220"&gt;&lt;/div&gt;&lt;/span&gt;</t>
    <phoneticPr fontId="1"/>
  </si>
  <si>
    <t>&lt;span class="w"&gt;&lt;b&gt;【221.on occasion(s)：ときどき】&lt;/b&gt;&lt;/span&gt;
&lt;span class="ml"&gt;&lt;span class="explanation_tag"&gt;語源&lt;/span&gt;
occasionは、ラテン語ob（〜に対して）と、cadere（落ちる）が合わさってできた語。自分の目の前に落ちてきたものから、あるときに不意に降りかかる「出来事」や「機会, 時」を意味するようになった。
&lt;span class="spacer"&gt;&lt;/span&gt;&lt;span class="explanation_tag"&gt;イメージ&lt;/span&gt;
［on occasion(s)］は「複数の機会・時に」から「ときどき」という意味になった。
&lt;div class="sample_image 2026_221"&gt;&lt;/div&gt;&lt;/span&gt;</t>
    <phoneticPr fontId="1"/>
  </si>
  <si>
    <t>&lt;span class="w"&gt;&lt;b&gt;【222.on purpose：わざと, 故意に】&lt;/b&gt;&lt;/span&gt;
&lt;span class="ml"&gt;&lt;span class="explanation_tag"&gt;語源&lt;/span&gt;
purposeは、古フランス語por（前に）と、poser（置く）が合わさってできた語。何かの行動をする前に置かれる前提＝「目的, 意図」という意味になった。
&lt;span class="spacer"&gt;&lt;/span&gt;on purposeは、1580年代から見られる。
&lt;span class="spacer"&gt;&lt;/span&gt;&lt;span class="explanation_tag"&gt;イメージ&lt;/span&gt;
［on purpose］は、直訳すると「目的の上で, 意図の上で」となる。つまり、あらかじめ意図した通りに何かをすることから「わざと, 故意に」という意味になる。
&lt;div class="sample_image 2026_222"&gt;&lt;/div&gt;&lt;/span&gt;</t>
    <phoneticPr fontId="1"/>
  </si>
  <si>
    <t>&lt;span class="w"&gt;&lt;b&gt;【225.agree to ~：（提案・計画・条件など）に同意する（内容を受け入れる）】&lt;/b&gt;&lt;/span&gt;
&lt;span class="ml"&gt;&lt;span class="explanation_tag"&gt;イメージ&lt;/span&gt;
［agree to A］のAには、提案・計画・条件などがくる。提案・計画・条件の内容に対して（to）&lt;strong&gt;受け入れる&lt;/strong&gt;（agree）というイメージから「Aに同意する」になる。
&lt;span class="spacer"&gt;&lt;/span&gt;&lt;span class="explanation_tag"&gt;関連語&lt;/span&gt;
［agree with A］は、Aに&lt;strong&gt;一致する&lt;/strong&gt;イメージ。そこから、人・考えに一致する＝「同意する」や、気候や食事が人に一致する＝「合う」という意味になる。
&lt;div class="sample_image 2026_225"&gt;&lt;/div&gt;&lt;/span&gt;</t>
    <phoneticPr fontId="1"/>
  </si>
  <si>
    <t>&lt;span class="w"&gt;&lt;b&gt;【226.agree with ~：①（人・考え）に同意する（一致する）, ②（気候・食事などが）人に合う】&lt;/b&gt;&lt;/span&gt;
&lt;span class="ml"&gt;&lt;span class="explanation_tag"&gt;イメージ&lt;/span&gt;
①［agree with A］のAには、人・考えがくる。人・考えに&lt;strong&gt;一致する&lt;/strong&gt;というイメージから、「Aに同意する」になる。
&lt;span class="spacer"&gt;&lt;/span&gt;②［S agree with 人］は、Sに天候や食事がきて、天候や食事が人に&lt;strong&gt;一致する&lt;/strong&gt;イメージから、「Sが人に合う」になる。
&lt;span class="spacer"&gt;&lt;/span&gt;&lt;span class="explanation_tag"&gt;関連語&lt;/span&gt;
［agree to A］は、Aに対して&lt;strong&gt;受け入れる&lt;/strong&gt;イメージ。そこから、提案・計画・条件などを受け入れる＝「同意する」という意味になる。
&lt;div class="sample_image 2026_226"&gt;&lt;/div&gt;&lt;/span&gt;</t>
    <phoneticPr fontId="1"/>
  </si>
  <si>
    <t>&lt;span class="w"&gt;&lt;b&gt;【227.apply for ~：（仕事・許可など）を求めて申し込む】&lt;/b&gt;&lt;/span&gt;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［apply for A］は、Aを求めて（for）要求をぴったり合わせる（apply）ことから、「Aを（求めて）申し込む」という意味になる。
&lt;span class="spacer"&gt;&lt;/span&gt;例：仕事・許可を求めて申し込む。
&lt;span class="spacer"&gt;&lt;/span&gt;&lt;span class="explanation_tag"&gt;関連語&lt;/span&gt;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
&lt;div class="sample_image 2026_227"&gt;&lt;/div&gt;&lt;/span&gt;</t>
    <phoneticPr fontId="1"/>
  </si>
  <si>
    <t>&lt;span class="w"&gt;&lt;b&gt;【228.apply to ~：①〜に当てはまる, ②（人・場所・組織など）に対して申し込む】&lt;/b&gt;&lt;/span&gt;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
&lt;span class="spacer"&gt;&lt;/span&gt;&lt;span class="explanation_tag"&gt;関連語&lt;/span&gt;
［apply for A］は、Aを求めて（for）要求をぴったり合わせる（apply）ことから、「Aを（求めて）申し込む」という意味になる。
&lt;span class="spacer"&gt;&lt;/span&gt;例：仕事・許可を求めて申し込む。
&lt;div class="sample_image 2026_228"&gt;&lt;/div&gt;&lt;/span&gt;</t>
    <phoneticPr fontId="1"/>
  </si>
  <si>
    <t>&lt;span class="w"&gt;&lt;b&gt;【231.catch up with / to ~：（遅れた状態から）〜に追いつく】&lt;/b&gt;&lt;/span&gt;
&lt;span class="ml"&gt;&lt;span class="explanation_tag"&gt;イメージ&lt;/span&gt;
［catch up with / to A］は、遅れたところから完全に（up）捕まえて（catch）Aと一緒の位置になる（with）/ Aのところへ至る（to）というイメージ。そこから「Aに追いつく」という意味になる。
&lt;div class="sample_image 2026_231"&gt;&lt;/div&gt;&lt;/span&gt;</t>
    <phoneticPr fontId="1"/>
  </si>
  <si>
    <t>&lt;span class="w"&gt;&lt;b&gt;【232.keep pace with ~：〜に遅れずについていく】&lt;/b&gt;&lt;/span&gt;
&lt;span class="ml"&gt;&lt;span class="explanation_tag"&gt;イメージ&lt;/span&gt;
［keep pace with A］は、Aと一緒に（with）ペース（pace）を維持する（keep）ことから「Aに遅れずについていく」という意味になる。
&lt;span class="spacer"&gt;&lt;/span&gt;&lt;span class="explanation_tag"&gt;関連語&lt;/span&gt;
［keep up with A］は、Aと一緒の状態を（with）完全に（up）維持する（keep）ことから「Aに遅れずについていく」という意味になる。
&lt;div class="sample_image 2026_232"&gt;&lt;/div&gt;&lt;/span&gt;</t>
    <phoneticPr fontId="1"/>
  </si>
  <si>
    <t>&lt;span class="w"&gt;&lt;b&gt;【233.keep up with ~：〜に遅れずについていく】&lt;/b&gt;&lt;/span&gt;
&lt;span class="ml"&gt;&lt;span class="explanation_tag"&gt;イメージ&lt;/span&gt;
［keep up with A］は、Aと一緒の状態を（with）完全に（up）維持する（keep）ことから「Aに遅れずについていく」という意味になる。
&lt;span class="spacer"&gt;&lt;/span&gt;&lt;span class="explanation_tag"&gt;関連語&lt;/span&gt;
［keep pace with A］は、Aと一緒に（with）ペース（pace）を維持する（keep）ことから「Aに遅れずについていく」という意味になる。
&lt;div class="sample_image 2026_233"&gt;&lt;/div&gt;&lt;/span&gt;</t>
    <phoneticPr fontId="1"/>
  </si>
  <si>
    <t>&lt;span class="w"&gt;&lt;b&gt;【234.leave ~ alone：〜をそのままにしておく, 〜に干渉しない】&lt;/b&gt;&lt;/span&gt;
&lt;span class="ml"&gt;&lt;span class="explanation_tag"&gt;イメージ&lt;/span&gt;
［leave A alone］のleaveは、第5文型「OをCのままにしておく」という意味。なので、「Aをそのままにしておく, Aに干渉しない」という意味になる。
&lt;span class="spacer"&gt;&lt;/span&gt;第5文型だと覚えていなくても、直訳「Aをひとりにして去る」から、「Aに干渉しない, Aをそのままにしておく」という意味は導き出せる。
&lt;div class="sample_image 2026_234"&gt;&lt;/div&gt;&lt;/span&gt;</t>
    <phoneticPr fontId="1"/>
  </si>
  <si>
    <t>&lt;span class="w"&gt;&lt;b&gt;【235.let alone ~：（主に否定文で）〜は言うまでもない】&lt;/b&gt;&lt;/span&gt;
&lt;span class="ml"&gt;&lt;span class="explanation_tag"&gt;語源&lt;/span&gt;
もともとは［let A alone］で「Aをそのままにしておく」という表現だった。物理的に何かに触れないことを表したこの表現は、次第に&lt;strong&gt;話題として触れない&lt;strong&gt;ことへと発展する。
&lt;span class="spacer"&gt;&lt;/span&gt;［let alone A］で、Aはわざわざ話題にして触れないということから、「Aは言うまでもない」という意味になった。
&lt;span class="spacer"&gt;&lt;/span&gt;&lt;span class="explanation_tag"&gt;補足&lt;/span&gt;
［let alone A］は、主に否定文や否定的な内容で使われる。
&lt;span class="spacer"&gt;&lt;/span&gt;I can’t swim, let alone dive.
私は泳げない
（泳げないんだから）ダイビングの話には触れない＝ダイビングは言うまでもない。
&lt;div class="sample_image 2026_235"&gt;&lt;/div&gt;&lt;/span&gt;</t>
    <phoneticPr fontId="1"/>
  </si>
  <si>
    <t>&lt;span class="w"&gt;&lt;b&gt;【236.correspond to ~：〜に一致する, 〜に相当する】&lt;/b&gt;&lt;/span&gt;
&lt;span class="ml"&gt;&lt;span class="explanation_tag"&gt;語源&lt;/span&gt;
correspondは、ラテン語com（共に）と、respondare（答える）が合わさってできた語。後者は現代英語respondだと考えればよい。
&lt;span class="spacer"&gt;&lt;/span&gt;自分が何かを送ったら、相手も自分に送ってくるようなマッチした関係であることから、対象に向ける側と返す側が合う＝何かと何かが「一致する, 相当する」や、誰かと誰かが「やりとりする」という意味になった。
&lt;span class="spacer"&gt;&lt;/span&gt;&lt;span class="explanation_tag"&gt;イメージ&lt;/span&gt;
［S correspond to A］は、SがAに対して（to）向けたら、AからSにも返ってくるイメージから、Sは「Aに一致する, 相当する」という&lt;strong&gt;両者の対応関係&lt;/strong&gt;を表す。
&lt;span class="spacer"&gt;&lt;/span&gt;&lt;span class="explanation_tag"&gt;関連語&lt;/span&gt;
［S correspond with A］は、SがAに向けたら、一緒に（with）AからSに返ってくる感じから、Sは「Aに一致する, 相当する」という&lt;strong&gt;両者の合致&lt;/strong&gt;を表す。
&lt;span class="spacer"&gt;&lt;/span&gt;また、SがAと一緒に（with）送り合う（correspond）ことから、「Aとやりとりする, 文通する」という意味になる。
&lt;div class="sample_image 2026_236"&gt;&lt;/div&gt;&lt;/span&gt;</t>
    <phoneticPr fontId="1"/>
  </si>
  <si>
    <t>&lt;span class="w"&gt;&lt;b&gt;【237.correspond with ~：①〜とやりとりする・文通する, ②〜に一致する】&lt;/b&gt;&lt;/span&gt;
&lt;span class="ml"&gt;&lt;span class="explanation_tag"&gt;語源&lt;/span&gt;
correspondは、ラテン語com（共に）と、respondare（答える）が合わさってできた語。後者は現代英語respondだと考えればよい。
&lt;span class="spacer"&gt;&lt;/span&gt;自分が何かを送ったら、相手も自分に送ってくるようなマッチした関係であることから、対象に向ける側と返す側が合う＝何かと何かが「一致する, 相当する」や、誰かと誰かが「やりとりする」という意味になった。
&lt;span class="spacer"&gt;&lt;/span&gt;&lt;span class="explanation_tag"&gt;イメージ&lt;/span&gt;
［S correspond with A］は、SがAに向けたら、一緒に（with）AからSに返ってくる感じから、Sは「Aに一致する, 相当する」という&lt;strong&gt;両者の合致&lt;/strong&gt;を表す。
&lt;span class="spacer"&gt;&lt;/span&gt;また、SがAと一緒に（with）送り合う（correspond）ことから、「Aとやりとりする, 文通する」という意味になる。
&lt;span class="spacer"&gt;&lt;/span&gt;&lt;span class="explanation_tag"&gt;関連語&lt;/span&gt;
［S correspond to A］は、SがAに対して（to）向けたら、AからSにも返ってくるイメージから、Sは「Aに一致する, 相当する」という&lt;strong&gt;両者の対応関係&lt;/strong&gt;を表す。
&lt;div class="sample_image 2026_237"&gt;&lt;/div&gt;&lt;/span&gt;</t>
    <phoneticPr fontId="1"/>
  </si>
  <si>
    <t>&lt;span class="w"&gt;&lt;b&gt;【238.〈人〉hit on〈考え〉：人が考えを思いつく】&lt;/b&gt;&lt;/span&gt;
&lt;span class="ml"&gt;&lt;span class="explanation_tag"&gt;イメージ&lt;/span&gt;
［人 hit on 考え］は、人が考えに（on）ドンとぶつかる（hit）ような感じから、「人が考えを思いつく」という意味になる。
&lt;div class="sample_image 2026_238"&gt;&lt;/div&gt;&lt;/span&gt;</t>
    <phoneticPr fontId="1"/>
  </si>
  <si>
    <t>&lt;span class="w"&gt;&lt;b&gt;【239.〈考え〉occur to〈人〉：考えが人に思い浮かぶ】&lt;/b&gt;&lt;/span&gt;
&lt;span class="ml"&gt;&lt;span class="explanation_tag"&gt;語源&lt;/span&gt;
occurは、ラテン語ob（に対して）と、currere（走る）が合わさってできた語。走っていて突然何かにぶつかるという、自分の意思とは関係ない出来事から、何かが「起こる, 生じる」地う意味になる。
&lt;span class="spacer"&gt;&lt;/span&gt;&lt;span class="explanation_tag"&gt;イメージ&lt;/span&gt;
［考え occur to 人］は、考えがある人の方に（to）生じる（occur）ことから、「考えが人に思い浮かぶ」という意味になる。
&lt;div class="sample_image 2026_239"&gt;&lt;/div&gt;&lt;/span&gt;</t>
    <phoneticPr fontId="1"/>
  </si>
  <si>
    <t>&lt;span class="w"&gt;&lt;b&gt;【240.〈考え〉dawn on〈人〉：考えが人に思い浮かぶ, わかり始める】&lt;/b&gt;&lt;/span&gt;
&lt;span class="ml"&gt;&lt;span class="explanation_tag"&gt;イメージ&lt;/span&gt;
［考え down on 人］は、人のもとに（on）考えが降りてくる（down）ように、「考えが人に思い浮かぶ, わかり始める」という意味になる。
&lt;div class="sample_image 2026_240"&gt;&lt;/div&gt;&lt;/span&gt;</t>
    <phoneticPr fontId="1"/>
  </si>
  <si>
    <t>&lt;span class="w"&gt;&lt;b&gt;【243.lay off ~：〜を解雇する, 〜をやめる】&lt;/b&gt;&lt;/span&gt;
&lt;span class="ml"&gt;&lt;span class="explanation_tag"&gt;イメージ&lt;/span&gt;
［lay off A］は、Aを分離（off）して横に置く（lay）ことから、何かを活動・行動から切り離すイメージになり、「Aを解雇する, やめる」という意味になる。
&lt;span class="spacer"&gt;&lt;/span&gt;&lt;span class="explanation_tag"&gt;補足&lt;/span&gt;
lay ~ offの語順にもなる。
&lt;div class="sample_image 2026_243"&gt;&lt;/div&gt;&lt;/span&gt;</t>
    <phoneticPr fontId="1"/>
  </si>
  <si>
    <t>&lt;span class="w"&gt;&lt;b&gt;【244.lay out ~：〜を並べる, 〜を設計する】&lt;/b&gt;&lt;/span&gt;
&lt;span class="ml"&gt;&lt;span class="explanation_tag"&gt;イメージ&lt;/span&gt;
［lay out A］は、Aを外に広げて（out）置く（lay）ことから、「Aを並べる」という意味になる。
&lt;span class="spacer"&gt;&lt;/span&gt;また、要素を配置して並べるイメージから、「Aを設計する」という意味にもなる。これは日本語のレイアウトと同じ。
&lt;span class="spacer"&gt;&lt;/span&gt;&lt;span class="explanation_tag"&gt;補足&lt;/span&gt;
lay ~ outの語順にもなる。
&lt;div class="sample_image 2026_244"&gt;&lt;/div&gt;&lt;/span&gt;</t>
    <phoneticPr fontId="1"/>
  </si>
  <si>
    <t>&lt;span class="w"&gt;&lt;b&gt;【245.be concerned about / for ~：〜を心配している】&lt;/b&gt;&lt;/span&gt;
&lt;span class="ml"&gt;&lt;span class="explanation_tag"&gt;語源&lt;/span&gt;
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about / for A］は、ふるいにかけられて（be concerned）残ったAについて / Aのために（about / for）Sが「心配している」という意味になる。
&lt;span class="spacer"&gt;&lt;/span&gt;&lt;span class="explanation_tag"&gt;関連語&lt;/span&gt;
［S be concerned with A］は、ふるいにかけられて（be concerned）Aと一緒に（with）残ることから、Sは「Aと関係がある」という意味になる。
&lt;div class="sample_image 2026_245"&gt;&lt;/div&gt;&lt;/span&gt;</t>
    <phoneticPr fontId="1"/>
  </si>
  <si>
    <t>&lt;span class="w"&gt;&lt;b&gt;【246.be concerned with ~：〜と関係がある】&lt;/b&gt;&lt;/span&gt;
&lt;span class="ml"&gt;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with A］は、ふるいにかけられて（be concerned）Aと一緒に（with）残ることから、Sは「Aと関係がある」という意味になる。
&lt;span class="spacer"&gt;&lt;/span&gt;&lt;span class="explanation_tag"&gt;関連語&lt;/span&gt;
［S be concerned about / for A］は、ふるいにかけられて（be concerned）残ったAについて / Aのために（about / for）Sが「心配している」という意味になる。
&lt;div class="sample_image 2026_246"&gt;&lt;/div&gt;&lt;/span&gt;</t>
    <phoneticPr fontId="1"/>
  </si>
  <si>
    <t>&lt;span class="w"&gt;&lt;b&gt;【247.be free from / of ~：〜がない】&lt;/b&gt;&lt;/span&gt;
&lt;span class="ml"&gt;&lt;span class="explanation_tag"&gt;イメージ&lt;/span&gt;
［be free from / of A］は、Aから（from A）距離をとって自由になっている（be free）や、内部からAが分離されて（of A）自由になっている（be free）というイメージ。
&lt;span class="spacer"&gt;&lt;/span&gt;Aから距離が離れて「Aがない」状態や、内部からAが分離されて「Aがない」状態を表す。
&lt;span class="spacer"&gt;&lt;/span&gt;free from fear
恐怖がない（恐怖から離れて自由）
&lt;span class="spacer"&gt;&lt;/span&gt;free of tax
税が無い（内部から税が分離）
&lt;div class="sample_image 2026_247"&gt;&lt;/div&gt;&lt;/span&gt;</t>
    <phoneticPr fontId="1"/>
  </si>
  <si>
    <t>&lt;span class="w"&gt;&lt;b&gt;【248.be free to do：自由に〜できる, 自由に〜してよい】&lt;/b&gt;&lt;/span&gt;
&lt;span class="ml"&gt;［be free to do］は直訳通り「〜する」ことにおいて「自由である」ことから「自由に〜できる」という意味になる。
&lt;div class="sample_image 2026_248"&gt;&lt;/div&gt;&lt;/span&gt;</t>
    <phoneticPr fontId="1"/>
  </si>
  <si>
    <t>&lt;span class="w"&gt;&lt;b&gt;【249.be familiar to ~：〜によく知られている】&lt;/b&gt;&lt;/span&gt;
&lt;span class="ml"&gt;&lt;span class="explanation_tag"&gt;イメージ&lt;/span&gt;
familiarは、familyの形容詞で「（家族のように）お互いよく知っている」というイメージ。
&lt;span class="spacer"&gt;&lt;/span&gt;［be familiar to A］で、Aに（to A）よく知られている（be familiar）という意味になる。
&lt;span class="spacer"&gt;&lt;/span&gt;このto Aは、be known to Aと同じ。
&lt;span class="spacer"&gt;&lt;/span&gt;&lt;span class="explanation_tag"&gt;関連語&lt;/span&gt;
［be familiar with A］で、Aに結びついていて（with A）よく知っている（be familiar）という意味になる。
&lt;div class="sample_image 2026_249"&gt;&lt;/div&gt;&lt;/span&gt;</t>
    <phoneticPr fontId="1"/>
  </si>
  <si>
    <t>&lt;span class="w"&gt;&lt;b&gt;【250.be familiar with ~：〜をよく知っている】&lt;/b&gt;&lt;/span&gt;
&lt;span class="ml"&gt;familiarは、familyの形容詞で「（家族のように）お互いよく知っている」というイメージ。
&lt;span class="spacer"&gt;&lt;/span&gt;［be familiar with A］で、Aに結びついていて（with A）よく知っている（be familiar）という意味になる。
&lt;span class="spacer"&gt;&lt;/span&gt;&lt;span class="explanation_tag"&gt;関連語&lt;/span&gt;
［be familiar to A］で、Aに（to A）よく知られている（be familiar）という意味になる。
&lt;span class="spacer"&gt;&lt;/span&gt;この［to A］は、be known to Aと同じ。
&lt;div class="sample_image 2026_250"&gt;&lt;/div&gt;&lt;/span&gt;</t>
    <phoneticPr fontId="1"/>
  </si>
  <si>
    <t>&lt;span class="w"&gt;&lt;b&gt;【251.be true of ~：〜に当てはまる】&lt;/b&gt;&lt;/span&gt;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of A］は、Aという対象に関して（of A）Sは真（true）であるということから、Sは「Aに当てはまる」という意味になる。
&lt;span class="spacer"&gt;&lt;/span&gt;&lt;span class="explanation_tag"&gt;関連語&lt;/span&gt;
［S be true to A］は、Aに向かって（to A）Sは揺るがない（true）ことから、Sは「Aに忠実である」という意味になる。
&lt;div class="sample_image 2026_251"&gt;&lt;/div&gt;&lt;/span&gt;</t>
    <phoneticPr fontId="1"/>
  </si>
  <si>
    <t>&lt;span class="w"&gt;&lt;b&gt;【252.be true to ~：〜に忠実である】&lt;/b&gt;&lt;/span&gt;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to A］は、Aに向かって（to A）Sは揺るがない（true）ことから、Sは「Aに忠実である」という意味になる。
&lt;span class="spacer"&gt;&lt;/span&gt;&lt;span class="explanation_tag"&gt;関連語&lt;/span&gt;
［S be true of A］は、Aという対象に関して（of A）Sは真（true）であるということから、Sは「Aに当てはまる」という意味になる。
&lt;div class="sample_image 2026_252"&gt;&lt;/div&gt;&lt;/span&gt;</t>
    <phoneticPr fontId="1"/>
  </si>
  <si>
    <t>&lt;span class="w"&gt;&lt;b&gt;【255.be bound for ~：〜行きである】&lt;/b&gt;&lt;/span&gt;
&lt;span class="ml"&gt;&lt;span class="explanation_tag"&gt;語源&lt;/span&gt;
boundは、中英語boun（出発の準備ができている）にさかのぼり、そこから「〜に行くつもりである」という意味になった。もともとはスペルの最後にdはなかったが、［256. be bound to do］のboundの影響で付け加えられた。
&lt;span class="spacer"&gt;&lt;/span&gt;［be bound for A］は、Aという目的地を目指して（for A）行くつもりであるということから、「A行きである」という意味になる。
&lt;div class="sample_image 2026_255"&gt;&lt;/div&gt;&lt;/span&gt;</t>
    <phoneticPr fontId="1"/>
  </si>
  <si>
    <t>&lt;span class="w"&gt;&lt;b&gt;【256.be bound to do：きっと〜する】&lt;/b&gt;&lt;/span&gt;
&lt;span class="ml"&gt;&lt;span class="explanation_tag"&gt;語源&lt;/span&gt;
boundは、動詞bind（縛る）の過去分詞形容詞で「結びつけられて固定されている」という意味になる。
&lt;span class="explanation_tag"&gt;イメージ&lt;/span&gt;
［be bound to do］は、何かをすること（to do）に縛り付けられて固定されている（be bound）イメージから、「きっと〜する」という意味になる。
&lt;div class="sample_image 2026_256"&gt;&lt;/div&gt;&lt;/span&gt;</t>
    <phoneticPr fontId="1"/>
  </si>
  <si>
    <t>&lt;span class="w"&gt;&lt;b&gt;【257.be anxious about ~：〜を心配している】&lt;/b&gt;&lt;/span&gt;
&lt;span class="ml"&gt;&lt;span class="explanation_tag"&gt;語源&lt;/span&gt;
anxiousは、ラテン語angere（締め付ける）に由来する。胸を締め付けるということから、心理的に「不安な」という意味になった。
&lt;span class="spacer"&gt;&lt;/span&gt;そこから［be anxious about A］は、「Aについて不安な」という意味になる。
&lt;div class="sample_image 2026_257"&gt;&lt;/div&gt;&lt;/span&gt;</t>
    <phoneticPr fontId="1"/>
  </si>
  <si>
    <t>&lt;span class="w"&gt;&lt;b&gt;【258.be anxious to do：〜したがる】&lt;/b&gt;&lt;/span&gt;
&lt;span class="ml"&gt;&lt;span class="explanation_tag"&gt;語源&lt;/span&gt;
anxiousは、ラテン語angere（締め付ける）に由来する。胸を締め付けるということから、心理的に「不安な」という意味になった。
&lt;span class="spacer"&gt;&lt;/span&gt;さらに、不安である心理状態から、それを解消するために何かを「切望している」という意味にも発展した。
&lt;span class="spacer"&gt;&lt;/span&gt;&lt;span class="explanation_tag"&gt;イメージ&lt;/span&gt;
［be anxious to do］は、不安な状態（be anxious）から（不安を解消したくて）何らかの行動に向かう（to do）というイメージから、何かを「したがる」という意味になる。
&lt;div class="sample_image 2026_258"&gt;&lt;/div&gt;&lt;/span&gt;</t>
    <phoneticPr fontId="1"/>
  </si>
  <si>
    <t>&lt;span class="w"&gt;&lt;b&gt;【259.〈名詞〉to come：将来の〜, きたるべき〜】&lt;/b&gt;&lt;/span&gt;
&lt;span class="ml"&gt;&lt;span class="explanation_tag"&gt;イメージ&lt;/span&gt;
［名詞 to come］は、名詞をto comeが後ろから修飾する。これから来る〈名詞〉を表して、「将来の〜, きたるべき〜」という意味になる。
&lt;div class="sample_image 2026_259"&gt;&lt;/div&gt;&lt;/span&gt;</t>
    <phoneticPr fontId="1"/>
  </si>
  <si>
    <t>&lt;span class="w"&gt;&lt;b&gt;【260.〈名詞〉to go：あと〜, 残りの〜, 持ち帰り用の】&lt;/b&gt;&lt;/span&gt;
&lt;span class="ml"&gt;&lt;span class="explanation_tag"&gt;イメージ&lt;/span&gt;
［名詞 to go］は、名詞をto goが後ろから修飾する。「これから進んで行く」ということが、完了までの進むべき先の道を表して、「あと〜, 残りの〜」という意味になる。
&lt;span class="spacer"&gt;&lt;/span&gt;また店内ではなく、持っていくことから、「持ち帰り用の〜」という意味にもなる。
&lt;div class="sample_image 2026_260"&gt;&lt;/div&gt;&lt;/span&gt;</t>
    <phoneticPr fontId="1"/>
  </si>
  <si>
    <t>&lt;span class="w"&gt;&lt;b&gt;【261.anything but ~：〜どころではない, 全然〜ではなく】&lt;/b&gt;&lt;/span&gt;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［anything but A］のbutは、「〜を除いて」を意味する。つまり、Aを除いて（but A）なんでも（anything）ということから、Aだけは絶対ない＝「全然Aではない, Aどころではない」という意味になる。
&lt;div class="sample_image 2026_261"&gt;&lt;/div&gt;&lt;/span&gt;</t>
    <phoneticPr fontId="1"/>
  </si>
  <si>
    <t>&lt;span class="w"&gt;&lt;b&gt;【262.nothing but ~：ただ〜だけ, 〜にすぎない】&lt;/b&gt;&lt;/span&gt;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［nothing but A］のbutは、「〜を除いて」を意味する。つまり、Aを除いて（but A）何もない（nothing）ということから、「ただAだけ, Aにすぎない」という意味になる。
&lt;div class="sample_image 2026_262"&gt;&lt;/div&gt;&lt;/span&gt;</t>
    <phoneticPr fontId="1"/>
  </si>
  <si>
    <t>&lt;span class="w"&gt;&lt;b&gt;【265.in the way (of ~)：（〜の）邪魔になって】&lt;/b&gt;&lt;/span&gt;
&lt;span class="ml"&gt;&lt;span class="explanation_tag"&gt;イメージ&lt;/span&gt;
［in the way (of ~)］は、進んでいく道（the way）の&lt;strong&gt;空間の中に&lt;/strong&gt;（in）何かがあることから、何かが進行の妨げで「邪魔になって」という意味になる。
&lt;span class="spacer"&gt;&lt;/span&gt;これは、反対のout of the wayから考えるとわかりやすい。out of the wayは、進んでいく道から外にどけることを表す。
&lt;div class="sample_image 2026_265"&gt;&lt;/div&gt;&lt;/span&gt;</t>
    <phoneticPr fontId="1"/>
  </si>
  <si>
    <t>&lt;span class="w"&gt;&lt;b&gt;【266.on the way (to ~)：（〜の）途中で】&lt;/b&gt;&lt;/span&gt;
&lt;span class="ml"&gt;&lt;span class="explanation_tag"&gt;イメージ&lt;/span&gt;
［on the way (to ~)］は、進んでいく&lt;strong&gt;道の上に&lt;/strong&gt;いることから、「〜の途中で」という意味になる。
&lt;div class="sample_image 2026_266"&gt;&lt;/div&gt;&lt;/span&gt;</t>
    <phoneticPr fontId="1"/>
  </si>
  <si>
    <t>&lt;span class="w"&gt;&lt;b&gt;【267.by now：今ごろは, 今はもう】&lt;/b&gt;&lt;/span&gt;
&lt;span class="ml"&gt;&lt;span class="explanation_tag"&gt;イメージ&lt;/span&gt;
［by now］は直訳すると、今（now）までに（by）。&lt;strong&gt;いま現時点までには何かが行われている&lt;/strong&gt;ことを表して、「今ごろは, 今はもう」という意味になる。
&lt;div class="sample_image 2026_267"&gt;&lt;/div&gt;&lt;/span&gt;</t>
    <phoneticPr fontId="1"/>
  </si>
  <si>
    <t>&lt;span class="w"&gt;&lt;b&gt;【268.for now：今のところは, 当分は】&lt;/b&gt;&lt;/span&gt;
&lt;span class="ml"&gt;&lt;span class="explanation_tag"&gt;イメージ&lt;/span&gt;
［for now］は直訳すると、今（now）の期間は（for）。&lt;strong&gt;いま現時点を含んだ期間&lt;/strong&gt;を表して、「今のところは, 当分は」という意味になる。
&lt;div class="sample_image 2026_268"&gt;&lt;/div&gt;&lt;/span&gt;</t>
    <phoneticPr fontId="1"/>
  </si>
  <si>
    <t>&lt;span class="w"&gt;&lt;b&gt;【269.on the contrary：それどころか, それとは反対に】&lt;/b&gt;&lt;/span&gt;
&lt;span class="ml"&gt;&lt;span class="explanation_tag"&gt;語源&lt;/span&gt;
contraryは、contrast（コントラスト）やcontroversy（論争）と同じく、対立を表すラテン語contraに由来する。
&lt;span class="spacer"&gt;&lt;/span&gt;&lt;span class="explanation_tag"&gt;イメージ&lt;/span&gt;
［on the contrary］は、反対（the contrary）の立場に立つ（on）というイメージから、直前に述べられたことに対して「それどころか, それとは反対に」という意味になる。
&lt;span class="spacer"&gt;&lt;/span&gt;&lt;span class="explanation_tag"&gt;関連語&lt;/span&gt;
［to the contrary］は、反対（the contrary）の方に向かう（to）というイメージから、「それと反対の」という意味になる。
&lt;span class="spacer"&gt;&lt;/span&gt;主に［名詞 to the contrary］で、反対の方向に向かう名詞＝「それと反対の名詞」となる。
&lt;div class="sample_image 2026_269"&gt;&lt;/div&gt;&lt;/span&gt;</t>
    <phoneticPr fontId="1"/>
  </si>
  <si>
    <t>&lt;span class="w"&gt;&lt;b&gt;【270.to the contrary：それと反対の】&lt;/b&gt;&lt;/span&gt;
&lt;span class="ml"&gt;&lt;span class="explanation_tag"&gt;語源&lt;/span&gt;
contraryは、contrast（コントラスト）やcontroversy（論争）と同じく、対立を表すラテン語contraに由来する。
&lt;span class="spacer"&gt;&lt;/span&gt;&lt;span class="explanation_tag"&gt;イメージ&lt;/span&gt;
［to the contrary］は、反対（the contrary）の方に向かう（to）というイメージから、「それと反対の」という意味になる。
&lt;span class="spacer"&gt;&lt;/span&gt;主に［名詞 to the contrary］で、反対の方向に向かう名詞＝「それと反対の名詞」となる。
&lt;span class="spacer"&gt;&lt;/span&gt;&lt;span class="explanation_tag"&gt;関連語&lt;/span&gt;
［on the contrary］は、反対（the contrary）の立場に立つ（on）というイメージから、直前に述べられたことに対して「それどころか, それとは反対に」という意味になる。
&lt;div class="sample_image 2026_270"&gt;&lt;/div&gt;&lt;/span&gt;</t>
    <phoneticPr fontId="1"/>
  </si>
  <si>
    <t>&lt;span class="w"&gt;&lt;b&gt;【271.in the air：①空中で, ②未決定で, ③（雰囲気などが）漂っている】&lt;/b&gt;&lt;/span&gt;
&lt;span class="ml"&gt;&lt;span class="explanation_tag"&gt;イメージ&lt;/span&gt;
［in the air］は、以下の3つの意味になる。
&lt;span class="spacer"&gt;&lt;/span&gt;①は、直訳通り「空中で」という意味になる。
&lt;span class="spacer"&gt;&lt;/span&gt;②は、物事が空中に漂った状態であることから、何かが「未決定で」という意味になる。
&lt;span class="spacer"&gt;&lt;/span&gt;③は、雰囲気や緊張感などが空気中にあるような感じを表して、何かが「漂っている, 感じられて」という意味になる。
&lt;div class="sample_image 2026_271"&gt;&lt;/div&gt;&lt;/span&gt;</t>
    <phoneticPr fontId="1"/>
  </si>
  <si>
    <t>&lt;span class="w"&gt;&lt;b&gt;【272.on the air：放送中で】&lt;/b&gt;&lt;/span&gt;
&lt;span class="ml"&gt;&lt;span class="explanation_tag"&gt;イメージ&lt;/span&gt;
［on the air］は、空気中（the air）に電波が乗って（on）いくことから、何かが「放送中で」という意味になる。
&lt;div class="sample_image 2026_272"&gt;&lt;/div&gt;&lt;/span&gt;</t>
    <phoneticPr fontId="1"/>
  </si>
  <si>
    <t>&lt;span class="w"&gt;&lt;b&gt;【273.by chance：偶然に】&lt;/b&gt;&lt;/span&gt;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［by chance］は、偶然（chance）によって（by）という直訳通り、「偶然に」という意味になる。ここでのchanceは、日本語でイメージされる好機ではなく、突然降りかかる「偶然」という意味。
&lt;div class="sample_image 2026_273"&gt;&lt;/div&gt;&lt;/span&gt;</t>
    <phoneticPr fontId="1"/>
  </si>
  <si>
    <t>&lt;span class="w"&gt;&lt;b&gt;【274.by any chance：（疑問文で）もしかして】&lt;/b&gt;&lt;/span&gt;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［by any chance］は直訳すると、どんな偶然（any chance）によって（by）でもいいから、という現実的な可能性の低さを表す。疑問文の中で使うことで、その疑問が肯定される可能性の低さを表し、「もしかして」という意味になる。
&lt;span class="spacer"&gt;&lt;/span&gt;Do you have a pen?
ペン持ってる？
&lt;span class="spacer"&gt;&lt;/span&gt;Do you by any chance have a pen?
&lt;strong&gt;どんな偶然によってでもいいから&lt;/strong&gt;ペン持ってる？
&lt;strong&gt;たまたま&lt;/strong&gt;ペン持ってたりしない？
&lt;strong&gt;もしかして&lt;/strong&gt;ペン持ってたりする？
&lt;div class="sample_image 2026_274"&gt;&lt;/div&gt;&lt;/span&gt;</t>
    <phoneticPr fontId="1"/>
  </si>
  <si>
    <t>&lt;span class="w"&gt;&lt;b&gt;【277.at a distance：ある距離をおいて】&lt;/b&gt;&lt;/span&gt;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［at a distance］は、ある距離（a distance）が置かれた状態（at）というイメージ。そこから、物理的・心理的に「ある距離を置いて」という意味になる。
&lt;span class="spacer"&gt;&lt;/span&gt;&lt;span class="explanation_tag"&gt;関連語&lt;/span&gt;
［in the distance］は、ある範囲の中（in）の距離（the distance）がある場所というイメージ。そこから、「遠方で」という意味になる。
&lt;span class="spacer"&gt;&lt;/span&gt;その場にいればdistanceを体感できるため、定冠詞theを使う。
&lt;div class="sample_image 2026_277"&gt;&lt;/div&gt;&lt;/span&gt;</t>
    <phoneticPr fontId="1"/>
  </si>
  <si>
    <t>&lt;span class="w"&gt;&lt;b&gt;【278.in the distance：遠方に】&lt;/b&gt;&lt;/span&gt;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［in the distance］は、ある範囲の中（in）の距離（the distance）がある場所というイメージ。そこから、「遠方で」という意味になる。
&lt;span class="spacer"&gt;&lt;/span&gt;その場にいればdistanceを体感できるため、定冠詞theを使う。
&lt;span class="spacer"&gt;&lt;/span&gt;&lt;span class="explanation_tag"&gt;関連語&lt;/span&gt;
［at a distance］は、ある距離（a distance）が置かれた状態（at）というイメージ。そこから、物理的・心理的に「ある距離を置いて」という意味になる。
&lt;div class="sample_image 2026_278"&gt;&lt;/div&gt;&lt;/span&gt;</t>
    <phoneticPr fontId="1"/>
  </si>
  <si>
    <t>&lt;span class="w"&gt;&lt;b&gt;【287.distinguish A from B：AをBと区別する】&lt;/b&gt;&lt;/span&gt;
&lt;span class="ml"&gt;&lt;span class="explanation_tag"&gt;語源&lt;/span&gt;
distinguishは、ラテン語dis（離れて）と、stinguere（突く）が合わさった語だと考えられる。何かを突き刺して分離させることから、何かと何かを「区別する」という意味になった。
&lt;span class="spacer"&gt;&lt;/span&gt;&lt;span class="explanation_tag"&gt;イメージ&lt;/span&gt;
［distinguish A from B］は、Aを突き刺して（distinguish A）Bから（from B）離すイメージ。そこから「AをBと区別する」という意味になる。
&lt;div class="sample_image 2026_287"&gt;&lt;/div&gt;&lt;/span&gt;</t>
    <phoneticPr fontId="1"/>
  </si>
  <si>
    <t>&lt;span class="w"&gt;&lt;b&gt;【289.participate in ~：〜に参加する】&lt;/b&gt;&lt;/span&gt;
&lt;span class="ml"&gt;&lt;span class="explanation_tag"&gt;語源&lt;/span&gt;
participateは、ラテン語pars（部分）と、capere（取る）が合わさってできた語。部分を取るというのは、ある活動において自分が一部分を受け持つことを表す。そこから何かに「参加する」という意味になる。
&lt;span class="spacer"&gt;&lt;/span&gt;&lt;span class="explanation_tag"&gt;イメージ&lt;/span&gt;
［participate in A］は、語源的に解釈すると、Aという活動において（in A）一部分を受け持つ（participate）こと表す。そこから、「Aに参加する」という意味になる。
&lt;span class="spacer"&gt;&lt;/span&gt;&lt;span class="explanation_tag"&gt;補足&lt;/span&gt;
participateのcipate部分は、語源で見た通り、ラテン語capereに由来する。capereからは、capture, anticipate, accept, receiveなど、-cipate / -cept / -ceiveといった〈取る〉系の語がたくさん生まれている。
&lt;span class="spacer"&gt;&lt;/span&gt;ラテン語由来のpars（部分）＋caoere（取る）と、英語のtake（取る）＋part（部分）は、全く同じ発想の表現。
&lt;div class="sample_image 2026_289"&gt;&lt;/div&gt;&lt;/span&gt;</t>
    <phoneticPr fontId="1"/>
  </si>
  <si>
    <t>&lt;span class="w"&gt;&lt;b&gt;【290.take part in ~：〜に参加する】&lt;/b&gt;&lt;/span&gt;
&lt;span class="ml"&gt;&lt;span class="explanation_tag"&gt;イメージ&lt;/span&gt;
［take part in A］は、Aという活動において（in A）一部分を引き受ける（take part）こと表す。そこから、「Aに参加する」という意味になる。
&lt;span class="spacer"&gt;&lt;/span&gt;&lt;span class="explanation_tag"&gt;補足&lt;/span&gt;
participateのcipate部分は、ラテン語capere（取る）に由来する。capereからは、capture, anticipate, accept, receiveなど、-cipate / -cept / -ceiveといった〈取る〉系の語がたくさん生まれている。
&lt;span class="spacer"&gt;&lt;/span&gt;ラテン語由来のpars（部分）＋capere（取る）と、英語のtake partは、全く同じ発想の表現。
&lt;div class="sample_image 2026_290"&gt;&lt;/div&gt;&lt;/span&gt;</t>
    <phoneticPr fontId="1"/>
  </si>
  <si>
    <t>&lt;span class="w"&gt;&lt;b&gt;【291.compensate for ~：〜の埋め合わせをする】&lt;/b&gt;&lt;/span&gt;
&lt;span class="ml"&gt;&lt;span class="explanation_tag"&gt;語源&lt;/span&gt;
compensateは、ラテン語com（共に）と、pendere（吊る）の派生形pensareが合わさってできた語。何かと何かを一緒に天秤に吊るし、釣り合わせることが意味の核。
&lt;span class="spacer"&gt;&lt;/span&gt;そこから、釣り合わせるために足りない部分を補うことへと発展して、何かを「埋め合わせる」という意味になった。
&lt;span class="spacer"&gt;&lt;/span&gt;&lt;span class="explanation_tag"&gt;イメージ&lt;/span&gt;
［compensate for A］は語源的に考えると、Aの代わりに（for A）何かを足して釣り合わせる（compensate）ことから、「Aの埋め合わせをする」という意味になる。
&lt;div class="sample_image 2026_291"&gt;&lt;/div&gt;&lt;/span&gt;</t>
    <phoneticPr fontId="1"/>
  </si>
  <si>
    <t>&lt;span class="w"&gt;&lt;b&gt;【292.make up (~)：①〜を作り上げる, ②仲直りする, ③（for ~）〜の埋め合わせをする】&lt;/b&gt;&lt;/span&gt;
&lt;span class="ml"&gt;&lt;span class="explanation_tag"&gt;イメージ&lt;/span&gt;
①何かを「作り（make）上げる（up）」という文字通りの意味になる。化粧を意味するメイクアップや、話をでっち上げるといった意味でも使われる。
&lt;span class="spacer"&gt;&lt;/span&gt;②壊れた関係からもとの状態を作り上げることから、「仲直りする」という意味になる。
&lt;span class="spacer"&gt;&lt;/span&gt;③［make up for A］で、Aの代わりに（for A）何かを作り上げる（make up）ことから、「Aの埋め合わせをする」という意味になる。
&lt;div class="sample_image 2026_292"&gt;&lt;/div&gt;&lt;/span&gt;</t>
    <phoneticPr fontId="1"/>
  </si>
  <si>
    <t>&lt;span class="w"&gt;&lt;b&gt;【293.care for ~：①〜の世話をする, ②（否定文・疑問文・条件文で）〜を望む, 〜を好む】&lt;/b&gt;&lt;/span&gt;
&lt;span class="ml"&gt;&lt;span class="explanation_tag"&gt;イメージ&lt;/span&gt;
［care for A］の意味の核は、Aのために（for A）注意や好意を向ける（care）こと。
&lt;span class="spacer"&gt;&lt;/span&gt;①Aに注意を向けて行動することから、「Aの世話をする」という意味になる。
&lt;span class="spacer"&gt;&lt;/span&gt;②Aに注意・関心・好意を向けることから、「Aを望む, 好む」という意味になる。
&lt;span class="spacer"&gt;&lt;/span&gt;I don’t care for coffee.
私はコーヒーに注意・関心・好意を向けない。
私はコーヒーを好まない。
&lt;span class="spacer"&gt;&lt;/span&gt;Would you care for some tea?
あなたはお茶に注意・関心・好意を向けますか？
あなたはお茶を好みますか？
お茶はいかがですか？
&lt;div class="sample_image 2026_293"&gt;&lt;/div&gt;&lt;/span&gt;</t>
    <phoneticPr fontId="1"/>
  </si>
  <si>
    <t>&lt;span class="w"&gt;&lt;b&gt;【294.look after ~：〜の世話をする】&lt;/b&gt;&lt;/span&gt;
&lt;span class="ml"&gt;&lt;span class="explanation_tag"&gt;イメージ&lt;/span&gt;
［look after A］は、Aの後ろ（after A）から視線を向ける（look）イメージ。そこから後ろから見守る、そして「Aの世話をする」という意味になる。
&lt;div class="sample_image 2026_294"&gt;&lt;/div&gt;&lt;/span&gt;</t>
    <phoneticPr fontId="1"/>
  </si>
  <si>
    <t>&lt;span class="w"&gt;&lt;b&gt;【295.show up (~)：①現れる, ②目立つ, 〜を目立たせる】&lt;/b&gt;&lt;/span&gt;
&lt;span class="ml"&gt;&lt;span class="explanation_tag"&gt;イメージ&lt;/span&gt;
［show up (~)］は、下や奥に隠れていたもの、姿が見えなかったものが、表面へ出て（up）姿を見せる（show）イメージ。そこから、①「現れる」という意味になる。
&lt;span class="spacer"&gt;&lt;/span&gt;また、他のものよりも表に（up）姿が見える（show）ことから、②「目立つ, 目立たせる」という意味になる。
&lt;span class="spacer"&gt;&lt;/span&gt;&lt;span class="explanation_tag"&gt;補足&lt;/span&gt;
②「何かを目立たせる」という意味の場合は、show ~ upの語順にもなる。
&lt;div class="sample_image 2026_295"&gt;&lt;/div&gt;&lt;/span&gt;</t>
    <phoneticPr fontId="1"/>
  </si>
  <si>
    <t>&lt;span class="w"&gt;&lt;b&gt;【296.turn up (~)：①現れる, 起こる, （失くしたものが）見つける, ②音量上げる, （失くしたものを）見つける】&lt;/b&gt;&lt;/span&gt;
&lt;span class="ml"&gt;&lt;span class="explanation_tag"&gt;イメージ&lt;/span&gt;
［turn up (~)］は、下に隠れていたものがくるっと回って（turn）表に（up）出てくるイメージ。そこから、①表に出てなかったものが「現れる, 起こる, 見つかる」という意味になる。
&lt;span class="spacer"&gt;&lt;/span&gt;また、ダイヤルをクルクル回して（turn）上にあげる（up）ことから、②「音量を上げる」という意味になる。
&lt;span class="spacer"&gt;&lt;/span&gt;&lt;span class="explanation_tag"&gt;補足&lt;/span&gt;
②「音量を上げる, 見つける」という意味の場合、turn ~ upの語順にもなる。
&lt;div class="sample_image 2026_296"&gt;&lt;/div&gt;&lt;/span&gt;</t>
    <phoneticPr fontId="1"/>
  </si>
  <si>
    <t>&lt;span class="w"&gt;&lt;b&gt;【297.consist in ~：〜にある】&lt;/b&gt;&lt;/span&gt;
&lt;span class="ml"&gt;&lt;span class="explanation_tag"&gt;語源&lt;/span&gt;
consistは、ラテン語con（しっかり）と、sistere（立つ）が合わさってできた語。「しっかりと立つ」がconsistの核。
&lt;span class="spacer"&gt;&lt;/span&gt;&lt;span class="explanation_tag"&gt;イメージ&lt;/span&gt;
［S consist in A］は、SがAの中に（in A）しっかりと立っている（consist）というイメージから、Sは「Aにある」という意味になる。
&lt;span class="spacer"&gt;&lt;/span&gt;&lt;span class="explanation_tag"&gt;関連語&lt;/span&gt;
［S consist of A］は、Aという構成要素（of A）があることで、Sがしっかりと立っている（consist）というイメージから、Sが「Aで成り立っている」という意味になる。
&lt;div class="sample_image 2026_297"&gt;&lt;/div&gt;&lt;/span&gt;</t>
    <phoneticPr fontId="1"/>
  </si>
  <si>
    <t>&lt;span class="w"&gt;&lt;b&gt;【299.give in (~)：①屈する, ②（to ~）〜に屈する, ③〜を提出する】&lt;/b&gt;&lt;/span&gt;
&lt;span class="ml"&gt;&lt;span class="explanation_tag"&gt;イメージ&lt;/span&gt;
［give in (~)］は、自分の立場や自分の側にあるものを、相手の中に（in）そのまま渡してしまう（give）ことから、「屈する」や、何かを「提出する」という意味になる。
&lt;span class="spacer"&gt;&lt;/span&gt;屈する対象は［to A］で示す。
&lt;div class="sample_image 2026_299"&gt;&lt;/div&gt;&lt;/span&gt;</t>
    <phoneticPr fontId="1"/>
  </si>
  <si>
    <t>&lt;span class="w"&gt;&lt;b&gt;【301.stand out：際立つ, 目立つ】&lt;/b&gt;&lt;/span&gt;
&lt;span class="ml"&gt;&lt;span class="explanation_tag"&gt;イメージ&lt;/span&gt;
［stand out］は、立っていて（stand）他よりも外に出ている（out）様子から、何かが「際立つ, 目立つ」という意味になる。
&lt;div class="sample_image 2026_301"&gt;&lt;/div&gt;&lt;/span&gt;</t>
    <phoneticPr fontId="1"/>
  </si>
  <si>
    <t>&lt;span class="w"&gt;&lt;b&gt;【302.stick out：突き出る, 目立つ】&lt;/b&gt;&lt;/span&gt;
&lt;span class="ml"&gt;&lt;span class="explanation_tag"&gt;イメージ&lt;/span&gt;
［stick out］は、棒を突き出すイメージ。そこから、何かが「突き出る, 目立つ」という意味になる。
&lt;div class="sample_image 2026_302"&gt;&lt;/div&gt;&lt;/span&gt;</t>
    <phoneticPr fontId="1"/>
  </si>
  <si>
    <t>&lt;span class="w"&gt;&lt;b&gt;【303.cling to ~：〜にくっつく, 〜に固執する】&lt;/b&gt;&lt;/span&gt;
&lt;span class="ml"&gt;&lt;span class="explanation_tag"&gt;語源&lt;/span&gt;
clingは、古英語clingan（しっかりつかむ, 密着する）にさかのぼる。この頃から何かに「強くくっつく」という意味が核になっている。
&lt;span class="spacer"&gt;&lt;/span&gt;［cling to A］は、「Aにくっつく」だけではなく、考え・信念・希望などにしがみつくイメージから「Aに固執する」という意味にもなる。
&lt;div class="sample_image 2026_303"&gt;&lt;/div&gt;&lt;/span&gt;</t>
    <phoneticPr fontId="1"/>
  </si>
  <si>
    <t>&lt;span class="w"&gt;&lt;b&gt;【304.stick to ~：〜にくっつく, 〜の通りに行う, 〜を続ける】&lt;/b&gt;&lt;/span&gt;
&lt;span class="ml"&gt;&lt;span class="explanation_tag"&gt;語源&lt;/span&gt;
stickは、古英語stician（突き刺す）にさかのぼる。尖った物で突き刺すことから、さらに突き刺して「固定する」という意味も生まれた。
&lt;span class="spacer"&gt;&lt;/span&gt;&lt;span class="explanation_tag"&gt;イメージ&lt;/span&gt;
［stick to A］は、Aに対して（to A）しっかりと固定する（stick）イメージ。そこから、物理的に「くっつく」や、計画やルールなどから離れず「Aの通りに行う, Aを守る」といった意味になる。
&lt;div class="sample_image 2026_304"&gt;&lt;/div&gt;&lt;/span&gt;</t>
    <phoneticPr fontId="1"/>
  </si>
  <si>
    <t>&lt;span class="w"&gt;&lt;b&gt;【305.count on / upon ~：〜に頼る, 〜を当てにする】&lt;/b&gt;&lt;/span&gt;
&lt;span class="ml"&gt;&lt;span class="explanation_tag"&gt;イメージ&lt;/span&gt;
［count on A］は、頭の中で計画や戦略などさまざまなことを考える際に、Aがあるという前提の上で（on A）、あれこれ計算する（count）ことから、「Aを頼る, 当てにする」となる。
&lt;span class="spacer"&gt;&lt;/span&gt;これは、カードゲームやトランプなどで、「自分の手札にAがあるから、ああしてこうして…」というように、Aを当てにして思考するイメージ。
&lt;div class="sample_image 2026_305"&gt;&lt;/div&gt;&lt;/span&gt;</t>
    <phoneticPr fontId="1"/>
  </si>
  <si>
    <t>&lt;span class="w"&gt;&lt;b&gt;【306.rest on / upon ~：〜の上に載っている, 〜に基づく, 〜次第である】&lt;/b&gt;&lt;/span&gt;
&lt;span class="ml"&gt;&lt;span class="explanation_tag"&gt;イメージ&lt;/span&gt;
restの意味の核は静止。休む・休止する・落ち着くといった意味は、すべて静止という核にもとづいている。
&lt;span class="spacer"&gt;&lt;/span&gt;［rest on A］は直訳すると、Aの上で（on A）静止している。つまり、Aの上に何かが止まって「載っている」ことを意味する。
&lt;span class="spacer"&gt;&lt;/span&gt;この物理的に載っていることから比喩的に、論理の土台や根拠を表すようになり、判断・結論などが「Aに基づく」という意味になる。
&lt;span class="spacer"&gt;&lt;/span&gt;また、成功・失敗などがAの上にあることから、どうなるかは「A次第である」という意味にもなる。
&lt;div class="sample_image 2026_306"&gt;&lt;/div&gt;&lt;/span&gt;</t>
    <phoneticPr fontId="1"/>
  </si>
  <si>
    <t>&lt;span class="w"&gt;&lt;b&gt;【307.look out (for ~)：（〜に）気をつける】&lt;/b&gt;&lt;/span&gt;
&lt;span class="ml"&gt;&lt;span class="explanation_tag"&gt;イメージ&lt;/span&gt;
［look out］は、外側に（out）視線を向ける（look）ことから、警戒して周囲を見る＝「気をつける」という意味になる。
&lt;span class="spacer"&gt;&lt;/span&gt;注意の対象は、［for A］で示す。
&lt;div class="sample_image 2026_307"&gt;&lt;/div&gt;&lt;/span&gt;</t>
    <phoneticPr fontId="1"/>
  </si>
  <si>
    <t>&lt;span class="w"&gt;&lt;b&gt;【308.watch out (for ~)：（〜に）気をつける】&lt;/b&gt;&lt;/span&gt;
&lt;span class="ml"&gt;&lt;span class="explanation_tag"&gt;イメージ&lt;/span&gt;
［watch out］は、外側を（out）じっとよく見る（watch）ことから、警戒して周囲を見る＝「気をつける」という意味になる。
&lt;span class="spacer"&gt;&lt;/span&gt;注意の対象は、［for A］で示す。
&lt;div class="sample_image 2026_308"&gt;&lt;/div&gt;&lt;/span&gt;</t>
    <phoneticPr fontId="1"/>
  </si>
  <si>
    <t>&lt;span class="w"&gt;&lt;b&gt;【309.hand over ~：〜を引き渡す, 〜を手渡す】&lt;/b&gt;&lt;/span&gt;
&lt;span class="ml"&gt;&lt;span class="explanation_tag"&gt;イメージ&lt;/span&gt;
［hand over A］は、自分の側から相手の側へ（over）渡す（hand）イメージから、「Aを引き渡す, 手渡す」という意味になる。
&lt;span class="spacer"&gt;&lt;/span&gt;&lt;span class="explanation_tag"&gt;補足&lt;/span&gt;
hand ~ overの語順にもなる。
&lt;div class="sample_image 2026_309"&gt;&lt;/div&gt;&lt;/span&gt;</t>
    <phoneticPr fontId="1"/>
  </si>
  <si>
    <t>&lt;span class="w"&gt;&lt;b&gt;【310.turn over ~：①〜を引き渡す, ②〜をめくる】&lt;/b&gt;&lt;/span&gt;
&lt;span class="ml"&gt;&lt;span class="explanation_tag"&gt;イメージ&lt;/span&gt;
［turn over A］は、自分の側にあるものを、くるっと向きを変えて（turn）相手側に（over）送るイメージ。そこから、①「Aを引き渡す」という意味になる。
&lt;span class="spacer"&gt;&lt;/span&gt;また、反対側へ（over）くるっと向きを変える（turn）ことから、②「Aをめくる」という意味になる。
&lt;span class="spacer"&gt;&lt;/span&gt;&lt;span class="explanation_tag"&gt;補足&lt;/span&gt;
turn ~ overの語順にもなる。
&lt;div class="sample_image 2026_310"&gt;&lt;/div&gt;&lt;/span&gt;</t>
    <phoneticPr fontId="1"/>
  </si>
  <si>
    <t>&lt;span class="w"&gt;&lt;b&gt;【311.date back to ~：〜にさかのぼる】&lt;/b&gt;&lt;/span&gt;
&lt;span class="ml"&gt;&lt;span class="explanation_tag"&gt;イメージ&lt;/span&gt;
［date back to A］は、日付がAまで戻るというイメージ。そこから、「Aにさかのぼる」という意味になる。
&lt;div class="sample_image 2026_311"&gt;&lt;/div&gt;&lt;/span&gt;</t>
    <phoneticPr fontId="1"/>
  </si>
  <si>
    <t>&lt;span class="w"&gt;&lt;b&gt;【312.date from ~ ：〜から始まる】&lt;/b&gt;&lt;/span&gt;
&lt;span class="ml"&gt;&lt;span class="explanation_tag"&gt;イメージ&lt;/span&gt;
［date from A］は、Aから日付けが開始するというイメージ。そこから、「Aから始まる」という意味になる。
&lt;div class="sample_image 2026_312"&gt;&lt;/div&gt;&lt;/span&gt;</t>
    <phoneticPr fontId="1"/>
  </si>
  <si>
    <t>&lt;span class="w"&gt;&lt;b&gt;【313.put aside ~：〜を脇に置く, 〜取っておく, 〜を蓄える】&lt;/b&gt;&lt;/span&gt;
&lt;span class="ml"&gt;&lt;span class="explanation_tag"&gt;イメージ&lt;/span&gt;
［put aside A］は、Aを横に（aside）置く（put）ことから、そのまま「Aを脇に置く」という意味になる。
&lt;span class="spacer"&gt;&lt;/span&gt;また脇に置いておくことから発展して、「Aを取っておく, Aを蓄える」という意味にもなる。
&lt;span class="spacer"&gt;&lt;/span&gt;&lt;span class="explanation_tag"&gt;補足&lt;/span&gt;
put ~ asideの語順にもなる。
&lt;div class="sample_image 2026_313"&gt;&lt;/div&gt;&lt;/span&gt;</t>
    <phoneticPr fontId="1"/>
  </si>
  <si>
    <t>&lt;span class="w"&gt;&lt;b&gt;【314.set aside ~：〜を脇に置く, 〜取っておく, 〜を蓄える】&lt;/b&gt;&lt;/span&gt;
&lt;span class="ml"&gt;&lt;span class="explanation_tag"&gt;イメージ&lt;/span&gt;
［set aside A］は、Aを横に（aside）置く（set）ことから、そのまま「Aを脇に置く」という意味になる。
&lt;span class="spacer"&gt;&lt;/span&gt;また脇に置いておくことから発展して、「Aを取っておく, Aを蓄える」という意味にもなる。
&lt;span class="spacer"&gt;&lt;/span&gt;&lt;span class="explanation_tag"&gt;補足&lt;/span&gt;
set ~ asideの語順にもなる。
&lt;div class="sample_image 2026_314"&gt;&lt;/div&gt;&lt;/span&gt;</t>
    <phoneticPr fontId="1"/>
  </si>
  <si>
    <t>&lt;span class="w"&gt;&lt;b&gt;【315.sit up：①寝ないで起きている, ②上半身を起こす, ③背筋を伸ばして座る】&lt;/b&gt;&lt;/span&gt;
&lt;span class="ml"&gt;&lt;span class="explanation_tag"&gt;イメージ&lt;/span&gt;
［sit up］は、座りながら（sit）上方向へ伸びる（up）イメージ。そこから、③「背筋を伸ばして座る」という意味になる。
&lt;span class="spacer"&gt;&lt;/span&gt;また、寝ている状態から上半身を上げて（up）座る（sit）ことから、②「上半身を起こす」という意味になる。
&lt;span class="spacer"&gt;&lt;/span&gt;さらにそのまま寝ないことで、①「寝ないで起きている」という意味になる。
&lt;div class="sample_image 2026_315"&gt;&lt;/div&gt;&lt;/span&gt;</t>
    <phoneticPr fontId="1"/>
  </si>
  <si>
    <t>&lt;span class="w"&gt;&lt;b&gt;【316.stay up：（寝ないで）起きている】&lt;/b&gt;&lt;/span&gt;
&lt;span class="ml"&gt;&lt;span class="explanation_tag"&gt;イメージ&lt;/span&gt;
［stay up］は、起きている状態（up）のままいる（stay）ことから、「寝ないで起きている」という意味になる。
&lt;div class="sample_image 2026_316"&gt;&lt;/div&gt;&lt;/span&gt;</t>
    <phoneticPr fontId="1"/>
  </si>
  <si>
    <t>&lt;span class="w"&gt;&lt;b&gt;【317.hold back ~：〜を制止する, 〜を隠す】&lt;/b&gt;&lt;/span&gt;
&lt;span class="ml"&gt;&lt;span class="explanation_tag"&gt;イメージ&lt;/span&gt;
［hold back A］は、Aをガッとつかんで（hold）背後に止める（back）イメージ。そこから、何かが表に出ないように「制止する, 隠す」という意味になる。
&lt;span class="spacer"&gt;&lt;/span&gt;&lt;span class="explanation_tag"&gt;補足&lt;/span&gt;
hold ~ backの語順にもなる。
&lt;div class="sample_image 2026_317"&gt;&lt;/div&gt;&lt;/span&gt;</t>
    <phoneticPr fontId="1"/>
  </si>
  <si>
    <t>&lt;span class="w"&gt;&lt;b&gt;【318.keep back ~：〜を隠す, 〜を制止する】&lt;/b&gt;&lt;/span&gt;
&lt;span class="ml"&gt;&lt;span class="explanation_tag"&gt;イメージ&lt;/span&gt;
［keep back A］は、Aを背後に（back）保っておく（keep）イメージ。そこから、何かが表に出ないように「隠す, 制止する」という意味になる。
&lt;span class="spacer"&gt;&lt;/span&gt;&lt;span class="explanation_tag"&gt;補足&lt;/span&gt;
keep ~ backの語順にもなる。
&lt;div class="sample_image 2026_318"&gt;&lt;/div&gt;&lt;/span&gt;</t>
    <phoneticPr fontId="1"/>
  </si>
  <si>
    <t>&lt;span class="w"&gt;&lt;b&gt;【324.surrender to ~：〜に屈する】&lt;/b&gt;&lt;/span&gt;
&lt;span class="ml"&gt;&lt;span class="explanation_tag"&gt;語源&lt;/span&gt;
surrenderは、ラテン語sur（超えて）と、reddere（返す, 引き渡す）が合わさってできた語。自分側のものを相手の方へ引き渡すことから、相手に「屈する」という意味になった。
&lt;span class="spacer"&gt;&lt;/span&gt;&lt;span class="explanation_tag"&gt;イメージ&lt;/span&gt;
［surrender to A］は、語源の通り、Aに対して（to A）自分側のものや自分自身を引き渡す（surrender）イメージ。そこから「Aに屈する」という意味になる。
&lt;div class="sample_image 2026_324"&gt;&lt;/div&gt;&lt;/span&gt;</t>
    <phoneticPr fontId="1"/>
  </si>
  <si>
    <t>&lt;span class="w"&gt;&lt;b&gt;【325.yield to ~：〜に屈する, 〜に道を譲る】&lt;/b&gt;&lt;/span&gt;
&lt;span class="ml"&gt;&lt;span class="explanation_tag"&gt;語源&lt;/span&gt;
yieldは、古英語gieldan（支払う）にさかのぼる。これはsurrender（屈する）のもとになったラテン語reddere（返す, 引き渡す）の翻訳語として使われたことから、何かを「与える, 引き渡す」という意味になった。
&lt;span class="spacer"&gt;&lt;/span&gt;そして「与える」から発展して、何かを「もたらす」、対象に何かを「譲る」、対象に「屈する」という意味になった（屈することで自分の立場・権利・所有物を相手に与える）。
&lt;span class="spacer"&gt;&lt;/span&gt;&lt;span class="explanation_tag"&gt;イメージ&lt;/span&gt;
yieldの意味の核は「与える」。
&lt;span class="spacer"&gt;&lt;/span&gt;［yield to A］は、Aに対して（to A）自分の立場や自分自身を与える（yield）ことから、「Aに屈する」という意味になる。
&lt;span class="spacer"&gt;&lt;/span&gt;また［yield O to A］で「AにOを譲る, もたらす」という意味になる。特に目的語なしの［yield to A］で「Aに道を譲る」という意味で使われる。
&lt;div class="sample_image 2026_325"&gt;&lt;/div&gt;&lt;/span&gt;</t>
    <phoneticPr fontId="1"/>
  </si>
  <si>
    <t>&lt;span class="w"&gt;&lt;b&gt;【326.be essential to ~：〜にとって不可欠である】&lt;/b&gt;&lt;/span&gt;
&lt;span class="ml"&gt;&lt;span class="explanation_tag"&gt;語源&lt;/span&gt;
essentialは、ラテン語のesse（存在する）に由来する。「存在する」という言葉から、あるものをそのものとして成り立たせる「本質」という名詞へと発展し、さらにそこから「欠かすことができない」という形容詞になった。
&lt;span class="spacer"&gt;&lt;/span&gt;たとえば、人間を人間として存在させる本質がなくなってしまえば、人間はもはや人間として存在できなくなる。そういう意味で、存在を成り立たせる本質とは「必要不可欠」なのである。
&lt;span class="spacer"&gt;&lt;/span&gt;&lt;span class="explanation_tag"&gt;イメージ&lt;/span&gt;
［be essential to A］は直訳すれば、Aに対して（to A）必要不可欠である（be essential）という意味になる。
&lt;div class="sample_image 2026_326"&gt;&lt;/div&gt;&lt;/span&gt;</t>
    <phoneticPr fontId="1"/>
  </si>
  <si>
    <t>&lt;span class="w"&gt;&lt;b&gt;【329.be equivalent to ~：〜と同等である, 〜に相当する】&lt;/b&gt;&lt;/span&gt;
&lt;span class="ml"&gt;&lt;span class="explanation_tag"&gt;語源&lt;/span&gt;equivalentは、ラテン語aequus（同じ）と、valere（価値がある）が合わさってできた語。同じ価値があるということから、「同等の, 相当する」という意味になる。
&lt;span class="spacer"&gt;&lt;/span&gt;ラテン語aequusはequalの、valereはvalueの語源となった語。
&lt;span class="spacer"&gt;&lt;/span&gt;&lt;span class="explanation_tag"&gt;イメージ&lt;/span&gt;
equivalentは、equal＋valueと考えればよい。「同じような価値」なので、equalのような完全一致ではない。
&lt;span class="spacer"&gt;&lt;/span&gt;［be equivalent to A］は、Aに対して（to A）同じような価値がある（be equivalent）ことから、「Aと同等である, Aに相当する」という意味になる。
&lt;span class="spacer"&gt;&lt;/span&gt;&lt;span class="explanation_tag"&gt;関連語&lt;/span&gt;
［be equal to A］は直訳すると、「Aに等しい」という意味になる。イコールなので完全一致、同一であることを表す。
&lt;div class="sample_image 2026_329"&gt;&lt;/div&gt;&lt;/span&gt;</t>
    <phoneticPr fontId="1"/>
  </si>
  <si>
    <t>&lt;span class="w"&gt;&lt;b&gt;【331.be inclined to do：〜する傾向がある, 〜したい気がする】&lt;/b&gt;&lt;/span&gt;
&lt;span class="ml"&gt;&lt;span class="explanation_tag"&gt;語源&lt;/span&gt;
inclinedは、動詞inclineの過去分詞が形容詞になったもの。
&lt;span class="spacer"&gt;&lt;/span&gt;inclineは、ラテン語in（〜の中へ）と、clinare（曲げる）が合わさってできた語。何かの中の方へグッと曲げて傾けることを表した。
&lt;span class="spacer"&gt;&lt;/span&gt;そこからinclinedは、何かの方へ傾いている＝「傾向がある」という意味になった。
&lt;span class="spacer"&gt;&lt;/span&gt;&lt;span class="explanation_tag"&gt;イメージ&lt;/span&gt;
［be inclined to do］は、何かをすること（to do）の方へ傾いている（be inclined）ことから、「〜をする傾向にある」という意味になる。
&lt;span class="spacer"&gt;&lt;/span&gt;&lt;span class="explanation_tag"&gt;関連語&lt;/span&gt;
ラテン語clinare（曲げる）からは、以下の語も生まれている。
&lt;span class="spacer"&gt;&lt;/span&gt;reclining（リクライニング：背もたれを後ろに傾ける）
decline（下に傾く, 減少する, 断る）
&lt;div class="sample_image 2026_331"&gt;&lt;/div&gt;&lt;/span&gt;</t>
    <phoneticPr fontId="1"/>
  </si>
  <si>
    <t>&lt;span class="w"&gt;&lt;b&gt;【343.on the whole：全体的には】&lt;/b&gt;&lt;/span&gt;
&lt;span class="ml"&gt;［on the whole］は直訳すると、全体（the whole）の上で（on）となる。部分的ではなく全体に基づいていることを表して、「全体的に」という意味になる。
&lt;span class="spacer"&gt;&lt;/span&gt;&lt;span class="explanation_tag"&gt;補足&lt;/span&gt;
wholeは、日本語でも使うホールケーキの「ホール」として使われる。全体からカットされたケーキではなく、全体のままのケーキをホールケーキと呼ぶ。
&lt;div class="sample_image 2026_343"&gt;&lt;/div&gt;&lt;/span&gt;</t>
    <phoneticPr fontId="1"/>
  </si>
  <si>
    <t>&lt;span class="w"&gt;&lt;b&gt;【348.by all means：①ぜひとも, ②（返事として）ぜひどうぞ】&lt;/b&gt;&lt;/span&gt;
&lt;span class="ml"&gt;&lt;span class="explanation_tag"&gt;イメージ&lt;/span&gt;
［by all means］は直訳すると、全ての（all）手段（means）によってでも（by）となる。つまり、何がなんでも突き進むことを表して、「ぜひとも」という意味になる。
&lt;span class="spacer"&gt;&lt;/span&gt;また、相手が許可を求めるような質問したときに［by all means］を使えば、「あらゆる手段を使ってでもそれをしてください」＝「ぜひそうしてください, ぜひどうぞ」という意味になる。
&lt;div class="sample_image 2026_348"&gt;&lt;/div&gt;&lt;/span&gt;</t>
    <phoneticPr fontId="1"/>
  </si>
  <si>
    <t>&lt;span class="w"&gt;&lt;b&gt;【353.for the present：今のところは, 当面の間は】&lt;/b&gt;&lt;/span&gt;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［for the present］は直訳すると、現在（the present）の間は（for）となる。今この瞬間を含む一定の期間を表して、今後変わるかもしれないが「今のところは, 当面の間は」という意味になる。
&lt;div class="sample_image 2026_353"&gt;&lt;/div&gt;&lt;/span&gt;</t>
    <phoneticPr fontId="1"/>
  </si>
  <si>
    <t>&lt;span class="w"&gt;&lt;b&gt;【354.for the time being：今のところは, 当面の間は】&lt;/b&gt;&lt;/span&gt;
&lt;span class="ml"&gt;［for the time being］は、forとthe time beingに分けて考える。
&lt;span class="spacer"&gt;&lt;/span&gt;［the time being］は、特定の時間を表すthe timeを、beの現在分詞beingが修飾することで、「いまこの瞬間に流れている時間」＝「現在」を意味する。
&lt;span class="spacer"&gt;&lt;/span&gt;これに期間を表すforが付くことで、いま現在を含む一定の期間を表して、今後変わるかもしれないが「今のところは, 当面の間は」という意味になる。
&lt;div class="sample_image 2026_354"&gt;&lt;/div&gt;&lt;/span&gt;</t>
    <phoneticPr fontId="1"/>
  </si>
  <si>
    <t>&lt;span class="w"&gt;&lt;b&gt;【357.for all ~：〜にもかかわらず】&lt;/b&gt;&lt;/span&gt;
&lt;span class="ml"&gt;&lt;span class="explanation_tag"&gt;イメージ&lt;/span&gt;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
&lt;span class="spacer"&gt;&lt;/span&gt;&lt;span class="explanation_tag"&gt;関連語&lt;/span&gt;
［with all A］は直訳すると、全てのA（all A）を持っていても（with）という感じになる。つまり、「Aという存在を丸ごと持っているのに…」というニュアンスになり、そこから「Aにもかかわらず」という意味になる。
&lt;div class="sample_image 2026_357"&gt;&lt;/div&gt;&lt;/span&gt;</t>
    <phoneticPr fontId="1"/>
  </si>
  <si>
    <t>&lt;span class="w"&gt;&lt;b&gt;【358.with all ~：〜にもかかわらず】&lt;/b&gt;&lt;/span&gt;
&lt;span class="ml"&gt;&lt;span class="explanation_tag"&gt;イメージ&lt;/span&gt;
［with all A］は直訳すると、全てのA（all A）を持っていても（with）という感じになる。つまり、「Aという存在を丸ごと持っているのに…」というニュアンスになり、そこから「Aにもかかわらず」という意味になる。
&lt;span class="spacer"&gt;&lt;/span&gt;&lt;span class="explanation_tag"&gt;関連語&lt;/span&gt;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
&lt;div class="sample_image 2026_358"&gt;&lt;/div&gt;&lt;/span&gt;</t>
    <phoneticPr fontId="1"/>
  </si>
  <si>
    <t>&lt;span class="w"&gt;&lt;b&gt;【359.as for ~：〜について言えば, 〜に関する限りでは】&lt;/b&gt;&lt;/span&gt;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for A］は、for（〜について言えば）が提示する&lt;strong&gt;話題Aに話の方向性を一致させる&lt;/strong&gt;（as）イメージ。そこから、他の話題ではなく「Aについて言えば」という意味になる。
&lt;span class="spacer"&gt;&lt;/span&gt;&lt;span class="explanation_tag"&gt;例&lt;/span&gt;
［〜. As for me, ….］
「〜」という話題から
&lt;span class="arrow"&gt;→&lt;/span&gt;話の方向性がmeに一致（as）
&lt;span class="arrow"&gt;→&lt;/span&gt;As for me＝私&lt;strong&gt;について言えば&lt;/strong&gt;
&lt;span class="spacer"&gt;&lt;/span&gt;&lt;span class="explanation_tag"&gt;関連語&lt;/span&gt;
［as to A］は、&lt;strong&gt;話の焦点をAに向けて&lt;/strong&gt;（to A）完全に一致させる（as）イメージ。そこから、「Aに関しては」という意味になる。
&lt;div class="sample_image 2026_359"&gt;&lt;/div&gt;&lt;/span&gt;</t>
    <phoneticPr fontId="1"/>
  </si>
  <si>
    <t>&lt;span class="w"&gt;&lt;b&gt;【360.as to ~：〜に関して】&lt;/b&gt;&lt;/span&gt;
&lt;span class="ml"&gt;&lt;span class="explanation_tag"&gt;語源&lt;/span&gt;
asは、古英語eal（all）と、swa（so）が合わさってできた語にさかのぼる。もともとは「まったくそのように, 完全に同様に」という意味だった。
&lt;span class="obsolete"&gt;だからas ~ asは「同じくらい」という意味になる。&lt;/span&gt;
&lt;span class="spacer"&gt;&lt;/span&gt;つまり、asの核には「一致」というイメージがある。
&lt;span class="spacer"&gt;&lt;/span&gt;&lt;span class="explanation_tag"&gt;イメージ&lt;/span&gt;
［as to A］は、&lt;strong&gt;話の焦点をAに向けて&lt;/strong&gt;（to A）完全に一致させる（as）イメージ。そこから、「Aに関しては」という意味になる。
&lt;span class="spacer"&gt;&lt;/span&gt;&lt;span class="explanation_tag"&gt;例&lt;/span&gt;
I have a question &lt;strong&gt;as to&lt;/strong&gt; how we should proceed.
&lt;span class="spacer"&gt;&lt;/span&gt;［I have a question］
&lt;span class="arrow"&gt;→&lt;/span&gt;疑問の焦点をtoで向ける
&lt;span class="arrow"&gt;→&lt;/span&gt;to［how we should proceed］
&lt;span class="arrow"&gt;→&lt;/span&gt;疑問の中心がこれに一致される（as）
&lt;span class="arrow"&gt;→&lt;/span&gt;疑問＝どのように進めるべきか&lt;strong&gt;について&lt;/strong&gt;
&lt;span class="spacer"&gt;&lt;/span&gt;&lt;span class="explanation_tag"&gt;関連語&lt;/span&gt;
［as for A］は、for（〜について言えば）が提示する&lt;strong&gt;話題Aに話の方向性を一致させる&lt;/strong&gt;（as）イメージ。そこから、他の話題ではなく「Aについて言えば」という意味になる。
&lt;div class="sample_image 2026_360"&gt;&lt;/div&gt;&lt;/span&gt;</t>
    <phoneticPr fontId="1"/>
  </si>
  <si>
    <t>&lt;span class="w"&gt;&lt;b&gt;【363.be dependent on / upon ~：〜に依存している】&lt;/b&gt;&lt;/span&gt;
&lt;span class="ml"&gt;&lt;span class="explanation_tag"&gt;語源&lt;/span&gt;
dependentは、動詞dependの形容詞として考えればよい。
&lt;span class="spacer"&gt;&lt;/span&gt;dependは、ラテン語de（下に）と、pendere（吊るす）が合わさってできた語。何かにぶら下がっている状態から、ぶら下がっている対象に「依存する」という意味になる。
&lt;span class="spacer"&gt;&lt;/span&gt;&lt;span class="explanation_tag"&gt;イメージ&lt;/span&gt;
［be dependent on A］は、Aにくっついて（on A）ぶら下がっている状態（be dependent）を表して、「Aに依存している」という意味になる。
&lt;div class="sample_image 2026_363"&gt;&lt;/div&gt;&lt;/span&gt;</t>
    <phoneticPr fontId="1"/>
  </si>
  <si>
    <t>&lt;span class="w"&gt;&lt;b&gt;【364.be independent of ~ ：〜から独立している】&lt;/b&gt;&lt;/span&gt;
&lt;span class="ml"&gt;&lt;span class="explanation_tag"&gt;イメージ&lt;/span&gt;
independentは、in（否定）と、dependent（依存している）が合わさってできた語。「依存している」の反対なので「独立している」という意味になる。
&lt;span class="spacer"&gt;&lt;/span&gt;be dependentは、接触を表すonを使う。それに対してbe independentは、&lt;strong&gt;分離を表すof&lt;/strong&gt;を使う。
&lt;div class="sample_image 2026_364"&gt;&lt;/div&gt;&lt;/span&gt;</t>
    <phoneticPr fontId="1"/>
  </si>
  <si>
    <t>&lt;span class="w"&gt;&lt;b&gt;【365.in order：整頓されて, 順調で】&lt;/b&gt;&lt;/span&gt;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［in order］は、きちんと列になっていて乱れていない状態というイメージ。そこから「整頓されて, 順調で」という意味になる。
&lt;span class="spacer"&gt;&lt;/span&gt;&lt;span class="explanation_tag"&gt;関連語&lt;/span&gt;
［out of order］は、列や順序から外れていて乱れている状態や、秩序通りではなく狂った状態というイメージ。そこから「故障して, 順序が狂って」という意味になる。
&lt;div class="sample_image 2026_365"&gt;&lt;/div&gt;&lt;/span&gt;</t>
    <phoneticPr fontId="1"/>
  </si>
  <si>
    <t>&lt;span class="w"&gt;&lt;b&gt;【366.out of order：故障して, 順序が狂って】&lt;/b&gt;&lt;/span&gt;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［out of order］は、列や順序から外れていて乱れている状態や、秩序通りではなく狂った状態というイメージ。そこから「故障して, 順序が狂って」という意味になる。
&lt;span class="spacer"&gt;&lt;/span&gt;&lt;span class="explanation_tag"&gt;関連語&lt;/span&gt;
［in order］は、きちんと列になっていて乱れていない状態というイメージ。そこから「整頓されて, 順調で」という意味になる。
&lt;div class="sample_image 2026_366"&gt;&lt;/div&gt;&lt;/span&gt;</t>
    <phoneticPr fontId="1"/>
  </si>
  <si>
    <t>&lt;span class="w"&gt;&lt;b&gt;【367.look down on / upon ~：〜を見下す】&lt;/b&gt;&lt;/span&gt;
&lt;span class="ml"&gt;&lt;span class="explanation_tag"&gt;イメージ&lt;/span&gt;
［look down on A］は、視線を下に向けて（look down）Aに押し付ける（on A）イメージ。そこから「Aを見下す」という意味になる。
&lt;span class="spacer"&gt;&lt;/span&gt;&lt;span class="explanation_tag"&gt;関連語&lt;/span&gt;
［look up to A］は、視線を上に向けて（look up）Aの方に伸ばす（to A）イメージ。相手を上の存在とみることから、「Aを尊敬する」という意味になる。
&lt;div class="sample_image 2026_367"&gt;&lt;/div&gt;&lt;/span&gt;</t>
    <phoneticPr fontId="1"/>
  </si>
  <si>
    <t>&lt;span class="w"&gt;&lt;b&gt;【368.look up to ~：～を尊敬する】&lt;/b&gt;&lt;/span&gt;
&lt;span class="ml"&gt;&lt;span class="explanation_tag"&gt;イメージ&lt;/span&gt;
［look up to A］は、視線を上に向けて（look up）Aの方に伸ばす（to A）イメージ。相手を上の存在とみることから、「Aを尊敬する」という意味になる。
&lt;span class="spacer"&gt;&lt;/span&gt;&lt;span class="explanation_tag"&gt;関連語&lt;/span&gt;
［look down on A］は、視線を下に向けて（look down）Aに押し付ける（on A）イメージ。そこから「Aを見下す」という意味になる。
&lt;div class="sample_image 2026_368"&gt;&lt;/div&gt;&lt;/span&gt;</t>
    <phoneticPr fontId="1"/>
  </si>
  <si>
    <t>&lt;span class="w"&gt;&lt;b&gt;【371.in / within sight：視界に入って, 見えて】&lt;/b&gt;&lt;/span&gt;
&lt;span class="ml"&gt;&lt;span class="explanation_tag"&gt;イメージ&lt;/span&gt;
sight（視界, 視力, 景色）は、seeにth（名詞化）が付いてできたもの。
&lt;span class="spacer"&gt;&lt;/span&gt;［in / within sight］は直訳すると、視界（sight）の中に（in / within）となる。そこから、「視界に入って, 見えて」という意味になる。
&lt;span class="spacer"&gt;&lt;/span&gt;&lt;span class="explanation_tag"&gt;関連語&lt;/span&gt;
［out of sight］は直訳すると、視界（sight）の外（out of）となる。そこから、「視界から消えて」という意味になる。
&lt;div class="sample_image 2026_371"&gt;&lt;/div&gt;&lt;/span&gt;</t>
    <phoneticPr fontId="1"/>
  </si>
  <si>
    <t>&lt;span class="w"&gt;&lt;b&gt;【372.out of sight：視界から消えて, 見えなくて】&lt;/b&gt;&lt;/span&gt;
&lt;span class="ml"&gt;&lt;span class="explanation_tag"&gt;イメージ&lt;/span&gt;
sight（視界, 視力, 景色）は、seeにth（名詞化）が付いてできたもの。
&lt;span class="spacer"&gt;&lt;/span&gt;［out of sight］は直訳すると、視界（sight）の外（out of）となる。そこから、「視界から消えて」という意味になる。
&lt;span class="spacer"&gt;&lt;/span&gt;&lt;span class="explanation_tag"&gt;関連語&lt;/span&gt;
［in / within sight］は直訳すると、視界（sight）の中に（in / within）となる。そこから、「視界に入って, 見えて」という意味になる。
&lt;div class="sample_image 2026_372"&gt;&lt;/div&gt;&lt;/span&gt;</t>
    <phoneticPr fontId="1"/>
  </si>
  <si>
    <t>&lt;span class="w"&gt;&lt;b&gt;【375.act on / upon ~：①〜に取り組む, 〜に作用する, ②〜に従って行動する】&lt;/b&gt;&lt;/span&gt;
&lt;span class="ml"&gt;&lt;span class="explanation_tag"&gt;イメージ&lt;/span&gt;
［act on A］は、［on A］の2つのイメージで覚える。
&lt;span class="spacer"&gt;&lt;/span&gt;&lt;span class="explanation_tag"&gt;①on A：Aに対して&lt;/span&gt;
行動や効果（act）がAの上にピタッとくっつくイメージから、「Aに取り組む, Aに作用する」という意味になる。
&lt;span class="spacer"&gt;&lt;/span&gt;&lt;span class="explanation_tag"&gt;②on A：Aに基づいて&lt;/span&gt;
Aという土台の上に乗って行動するイメージから、「Aに従って行動する」という意味になる。
&lt;div class="sample_image 2026_375"&gt;&lt;/div&gt;&lt;/span&gt;</t>
    <phoneticPr fontId="1"/>
  </si>
  <si>
    <t>&lt;span class="w"&gt;&lt;b&gt;【376.break in (~)：①押し入る, 口を挟む, ②〜を慣らす】&lt;/b&gt;&lt;/span&gt;
&lt;span class="ml"&gt;&lt;span class="explanation_tag"&gt;①のイメージ&lt;/span&gt;
［break in］は、物や状況を壊して（break）中に入る（in）ことから、「押し入る, 口を挟む」という意味になる。
&lt;span class="spacer"&gt;&lt;/span&gt;&lt;span class="explanation_tag"&gt;②のイメージ&lt;/span&gt;
「break in A」は、新品の物や自分に馴染んでいない物・相手の、いわば硬い状態を壊わして、その中に入るイメージから、「〜を慣らす」という意味になる。
&lt;span class="spacer"&gt;&lt;/span&gt;&lt;span class="explanation_tag"&gt;補足&lt;/span&gt;
②は、break ~ inの語順にもなる。
&lt;div class="sample_image 2026_376"&gt;&lt;/div&gt;&lt;/span&gt;</t>
    <phoneticPr fontId="1"/>
  </si>
  <si>
    <t>&lt;span class="w"&gt;&lt;b&gt;【377.break out：①（火事・戦争などが）起こる, ②（汗・吹き出ものなどが）出る, ③（〜doing）急に〜しだす】&lt;/b&gt;&lt;/span&gt;
&lt;span class="ml"&gt;&lt;span class="explanation_tag"&gt;イメージ&lt;/span&gt;
［break out］は、何もない状態を壊して（break）外へ出る（out）イメージ。
&lt;span class="spacer"&gt;&lt;/span&gt;①平常な状態を壊して、火事や戦争などが「起こる」
&lt;span class="spacer"&gt;&lt;/span&gt;②奥にあった汗や吹き出ものなどが「出る」
&lt;span class="spacer"&gt;&lt;/span&gt;③［break out doing］で、何もしていなかった状態を壊して「急に〜しだす」
&lt;div class="sample_image 2026_377"&gt;&lt;/div&gt;&lt;/span&gt;</t>
    <phoneticPr fontId="1"/>
  </si>
  <si>
    <t>&lt;span class="w"&gt;&lt;b&gt;【378.break up (~)：①バラバラになる, 〜をバラバラにする, ②別れる, ③終わる, 〜を終わらせる】&lt;/b&gt;&lt;/span&gt;
&lt;span class="ml"&gt;&lt;span class="explanation_tag"&gt;イメージ&lt;/span&gt;
［break up (A)］は、完全に（up）壊す（break）というイメージ。
&lt;span class="spacer"&gt;&lt;/span&gt;①固まっているもの・集まっているものが完全に壊れることから、「バラバラになる, Aをバラバラにする」
&lt;span class="spacer"&gt;&lt;/span&gt;②人間関係が完全に壊れることから、「別れる」
&lt;span class="spacer"&gt;&lt;/span&gt;③続いている状況や状態が完全に壊れることから、「終わる, Aを終わらせる」
&lt;span class="spacer"&gt;&lt;/span&gt;&lt;span class="explanation_tag"&gt;補足&lt;/span&gt;
break ~ upの語順にもなる。
&lt;div class="sample_image 2026_378"&gt;&lt;/div&gt;&lt;/span&gt;</t>
    <phoneticPr fontId="1"/>
  </si>
  <si>
    <t>&lt;span class="w"&gt;&lt;b&gt;【379.call for ~：①〜を求める, ②人を誘いに行く, 物を取りに行く】&lt;/b&gt;&lt;/span&gt;
&lt;span class="ml"&gt;&lt;span class="explanation_tag"&gt;語源&lt;/span&gt;
①callは、13世紀半ばには「呼ぶ」だけではなく、声を出して「求める」という意味でも使われた。
&lt;span class="spacer"&gt;&lt;/span&gt;②また中英語期（1100-1500年）には、玄関に立って中にいる住人を呼ぶという行為から発展して、「訪問する」という意味でも使われた。
&lt;span class="spacer"&gt;&lt;/span&gt;&lt;span class="explanation_tag"&gt;イメージ&lt;/span&gt;
語源①の通り、「求める」という意味がある。forを使って求める対象を示すことで、［call for A］は、「〜を求める」となる。
&lt;span class="spacer"&gt;&lt;/span&gt;語源②の通り、callには、誰かのもとへ訪問するという意味があった。そこから、人や物を求めて行くことへとつながり、［call for A］は、「人を誘いに行く」「物を取りに行く」となる。
&lt;div class="sample_image 2026_379"&gt;&lt;/div&gt;&lt;/span&gt;</t>
    <phoneticPr fontId="1"/>
  </si>
  <si>
    <t>&lt;span class="w"&gt;&lt;b&gt;【380.call on / upon ~：①〜を訪問する, ②〈人〉に要求する】&lt;/b&gt;&lt;/span&gt;
&lt;span class="ml"&gt;&lt;span class="explanation_tag"&gt;語源&lt;/span&gt;
①callは、中英語期（1100-1500年）には、玄関に立って中にいる住人を呼ぶという行為から発展して、「訪問する」という意味でも使われた。
&lt;span class="spacer"&gt;&lt;/span&gt;②また13世紀半ばには「呼ぶ」だけではなく、声を出して「求める」という意味でも使われた。
&lt;span class="spacer"&gt;&lt;/span&gt;&lt;span class="explanation_tag"&gt;イメージ&lt;/span&gt;
①の語源の通り、「訪問する」という意味になる。接触を表すonを使って訪問相手を示すことで、［call on A］は、「Aを訪問する」となる。
&lt;span class="spacer"&gt;&lt;/span&gt;②の語源の通り、「求める」という意味になる。接触のonを使って求める相手を示すことで、［call on A］は、「Aに求める」となる。
&lt;span class="spacer"&gt;&lt;/span&gt;［call on 人 for X］なら「人にXを求める」
［call on 人 to do］なら「人に〜することを求める」
&lt;div class="sample_image 2026_380"&gt;&lt;/div&gt;&lt;/span&gt;</t>
    <phoneticPr fontId="1"/>
  </si>
  <si>
    <t>&lt;span class="w"&gt;&lt;b&gt;【381.come across (~)：①〜を偶然見つける, 〜に偶然出会う, ②（考えや意味が相手に）伝わる】&lt;/b&gt;&lt;/span&gt;
&lt;span class="ml"&gt;&lt;span class="explanation_tag"&gt;①のイメージ&lt;/span&gt;
［come across A］は、十字の道を進んでいたら、真ん中でバッタリ出会うイメージ。そこから「Aに偶然出会う, Aを偶然見つける」という思いがけない、人や物との出会いを意味する。
&lt;span class="spacer"&gt;&lt;/span&gt;&lt;span class="explanation_tag"&gt;②の語源&lt;/span&gt;
［come across］で、意味や考えが相手に「伝わる」となるのは、おそらく19世紀のget ~ across the footlightsという演劇用語に由来する。
&lt;span class="spacer"&gt;&lt;/span&gt;この表現は、演劇の舞台上から、足元のライトの向こう側にいる観客に伝わるように演じる、という意味で使われた。つまり、舞台と客席を隔てる空間を横切って、相手に届ける＝伝えることを表した。
&lt;span class="spacer"&gt;&lt;/span&gt;この演劇用語で考えると、come acrossは、超えて来るという客目線になる。つまり［come across］は、受け手目線で「伝わる」という感じになる。
&lt;div class="sample_image 2026_381"&gt;&lt;/div&gt;&lt;/span&gt;</t>
    <phoneticPr fontId="1"/>
  </si>
  <si>
    <t>&lt;span class="w"&gt;&lt;b&gt;【382.come to (~)：①〜に達する, 〜に来る, ②〜するようになる, ③意識を取り戻す】&lt;/b&gt;&lt;/span&gt;
&lt;span class="ml"&gt;&lt;span class="explanation_tag"&gt;イメージ&lt;/span&gt;
［come to A］の核は、Aというゴールに来ること。
&lt;span class="spacer"&gt;&lt;/span&gt;①物理的な移動で「Aに来る」という基本的な意味から、比喩的に、ある結論や結果というゴール「に達する」や、数字の合計で「Aに達する」という意味になる。
&lt;span class="spacer"&gt;&lt;/span&gt;②［come to do］で、何かをするというゴールに達することから、「〜するようになる」という意味になる。
&lt;span class="spacer"&gt;&lt;/span&gt;③どこかへ行ってしまっていた意識が現実に戻ってくることから、「意識を取り戻す」という意味になる。
&lt;div class="sample_image 2026_382"&gt;&lt;/div&gt;&lt;/span&gt;</t>
    <phoneticPr fontId="1"/>
  </si>
  <si>
    <t>&lt;span class="w"&gt;&lt;b&gt;【383.give out (~)：①〜を配る, ②尽きる】&lt;/b&gt;&lt;/span&gt;
&lt;span class="ml"&gt;&lt;span class="explanation_tag"&gt;イメージ&lt;/span&gt;
［give out］の核は、外に手放すこと。
&lt;span class="spacer"&gt;&lt;/span&gt;①［give out A］は、Aを自分のもとから外へ手放すことから、「Aを配る」という意味になる。
&lt;span class="spacer"&gt;&lt;/span&gt;②［give out］は、全てを外へ手放して空っぽにすることから、「尽きる」という意味になる。
&lt;span class="spacer"&gt;&lt;/span&gt;&lt;span class="explanation_tag"&gt;補足&lt;/span&gt;
①は、give ~ outの語順にもなる。
&lt;div class="sample_image 2026_383"&gt;&lt;/div&gt;&lt;/span&gt;</t>
    <phoneticPr fontId="1"/>
  </si>
  <si>
    <t>&lt;span class="w"&gt;&lt;b&gt;【384.go by (~)：①（時などが）経つ, 通りすぎる, ②〜に従って行動する, ③〜という名前で通る】&lt;/b&gt;&lt;/span&gt;
&lt;span class="ml"&gt;&lt;span class="explanation_tag"&gt;イメージ&lt;/span&gt;
①［go by］は、自分のすぐそば（by）を行く（go）ことから、何かが「通りすぎる」や、時間が「経つ」という意味になる。
&lt;span class="spacer"&gt;&lt;/span&gt;②［go by A］は、Aによって（by A）進んで行く（go）ことから、行動や判断の指針となる＝「Aに従って行動する」という意味になる。
&lt;span class="spacer"&gt;&lt;/span&gt;③［go by 名前］は、ある〈名前〉によって人々に知られて進んで行くことから、「〜という名前で通る」という意味になる。
&lt;div class="sample_image 2026_384"&gt;&lt;/div&gt;&lt;/span&gt;</t>
    <phoneticPr fontId="1"/>
  </si>
  <si>
    <t>&lt;span class="w"&gt;&lt;b&gt;【385.go off：①去る, ②（灯りなどが）消える, ③（仕掛けが）作動する, （爆弾が）爆発する, （銃が）発射される】&lt;/b&gt;&lt;/span&gt;
&lt;span class="ml"&gt;&lt;span class="explanation_tag"&gt;イメージ&lt;/span&gt;
［go off］の核は、手元やある場所を離れ（off）、そのまま進んで行く（go）こと。
&lt;span class="spacer"&gt;&lt;/span&gt;①ある場所から離れて（off）進んで行くことから、「去る」という意味になる。
&lt;span class="spacer"&gt;&lt;/span&gt;②スイッチなどがonの状態から、切り離されたoffの状態に行くことから、灯りなどが「消える」という意味になる。
&lt;span class="spacer"&gt;&lt;/span&gt;③ストッパーや設定などで止められていた状態から切り離されて（off）進行して行く（go）ことから、仕掛けが「作動する」、爆弾が「爆発する」、銃がなど「発射される」といった意味になる。
&lt;div class="sample_image 2026_385"&gt;&lt;/div&gt;&lt;/span&gt;</t>
    <phoneticPr fontId="1"/>
  </si>
  <si>
    <t>&lt;span class="w"&gt;&lt;b&gt;【386.go on (~)：①続く, ②（be going onで）起こっている, ③（旅などに）出かける】&lt;/b&gt;&lt;/span&gt;
&lt;span class="ml"&gt;&lt;span class="explanation_tag"&gt;onのイメージ&lt;/span&gt;
onは次のような流れで考える。
基本の「接触」&lt;span class="arrow"&gt;→&lt;/span&gt;くっついて離れない「継続」と、今まさにくっついている「進行中」
&lt;span class="spacer"&gt;&lt;/span&gt;&lt;span class="explanation_tag"&gt;イメージ&lt;/span&gt;①のイメージ：on「継続」&lt;/span&gt;
そのまま進み（go）続ける（on）ことから、何かが「続く」という意味になる。
&lt;span class="spacer"&gt;&lt;/span&gt;&lt;span class="explanation_tag"&gt;②のイメージ：on「進行中」&lt;/span&gt;
［be going on］は、進行形になることで「今まさに進行の真っ最中」となり、何かが「起こっている」という意味になる。
&lt;span class="spacer"&gt;&lt;/span&gt;What's going on?
何が起こっているんだ？
&lt;span class="spacer"&gt;&lt;/span&gt;&lt;span class="explanation_tag"&gt;③のイメージ：on「接触」&lt;/span&gt;
旅行などの活動スケジュールの流れに乗って行くことから、旅などに「出かける」という意味になる。
&lt;div class="sample_image 2026_386"&gt;&lt;/div&gt;&lt;/span&gt;</t>
    <phoneticPr fontId="1"/>
  </si>
  <si>
    <t>&lt;span class="w"&gt;&lt;b&gt;【387.go out：①出かける, ②（灯りなどが）消える, 気絶する, 死ぬ】&lt;/b&gt;&lt;/span&gt;
&lt;span class="ml"&gt;&lt;span class="explanation_tag"&gt;イメージ&lt;/span&gt;
［go out］の核は、外に行くこと。
&lt;span class="spacer"&gt;&lt;/span&gt;①は、外に（out）行く（go）ことから、「出かける」という意味になる。
&lt;span class="spacer"&gt;&lt;/span&gt;②は、人の移動ではなく、何かがどこかへ行ってしまうことを表しているにすぎない。
&lt;span class="spacer"&gt;&lt;/span&gt;灯りなどがどこかへ行けば「消える」、人の意識がどこかへ行けば「気絶する」、命や魂がどこかへ行けば「死ぬ」といった意味になる。
&lt;div class="sample_image 2026_387"&gt;&lt;/div&gt;&lt;/span&gt;</t>
    <phoneticPr fontId="1"/>
  </si>
  <si>
    <t>&lt;span class="w"&gt;&lt;b&gt;【388.go over ~：①〜に詳細に目を通す, ②〜を復習する, 〜を繰り返す】&lt;/b&gt;&lt;/span&gt;
&lt;span class="ml"&gt;&lt;span class="explanation_tag"&gt;イメージ&lt;/span&gt;
［go over A］の核は、対象であるA全体の端から端まで、視線・意識・思考などを行かせること。
&lt;span class="spacer"&gt;&lt;/span&gt;①まだ全体をじっくり見ていない物が対象であれば、「Aに詳細に目を通す」という意味になる。
&lt;span class="spacer"&gt;&lt;/span&gt;②既に全体を見たものが対象であれば、「復習する, 繰り返す」という意味になる。
&lt;div class="sample_image 2026_388"&gt;&lt;/div&gt;&lt;/span&gt;</t>
    <phoneticPr fontId="1"/>
  </si>
  <si>
    <t>&lt;span class="w"&gt;&lt;b&gt;【390.hold out (~)：①（手などを）差し出す, 希望などを抱かせる, ②持ち堪える, 耐える】&lt;/b&gt;&lt;/span&gt;
&lt;span class="ml"&gt;&lt;span class="explanation_tag"&gt;①のイメージ&lt;/span&gt;
何かをつかむ（hold）ための手を外に出す（out）
何かをつかんで（hold）外に出す（out）
この2つのイメージから、［hold out A］は「Aを差し出す」という意味になる。
&lt;span class="spacer"&gt;&lt;/span&gt;&lt;span class="explanation_tag"&gt;補足&lt;/span&gt;
hold ~ outの語順にもなる。
&lt;span class="spacer"&gt;&lt;/span&gt;&lt;span class="explanation_tag"&gt;②のイメージ&lt;/span&gt;
外部のある状況において（out）、状態を維持する（hold）イメージから、人・集団が「持ち堪える, 耐える」や、物が尽きずに「持ち堪える」という意味になる。
&lt;div class="sample_image 2026_390"&gt;&lt;/div&gt;&lt;/span&gt;</t>
    <phoneticPr fontId="1"/>
  </si>
  <si>
    <t>&lt;span class="w"&gt;&lt;b&gt;【391.hold up (~)：①〜を持ち上げる, ②持ちこたえる, 耐える, ③〜を遅らせる, ④強盗に入る】&lt;/b&gt;&lt;/span&gt;
&lt;span class="ml"&gt;&lt;span class="explanation_tag"&gt;語源&lt;/span&gt;
12世紀後期
手などを上げる
&lt;span class="spacer"&gt;&lt;/span&gt;13世紀後期
倒れたり沈んだりしないように何かを支える
&lt;span class="spacer"&gt;&lt;/span&gt;1580年代までに
持ちこたえる, 耐える
&lt;span class="spacer"&gt;&lt;/span&gt;1590年代から
止まる, 中止する
&lt;span class="spacer"&gt;&lt;/span&gt;1837年までに
通行や進行を一時的に妨害する, 遅らせる
&lt;span class="spacer"&gt;&lt;/span&gt;1878年までに
強盗をする（強盗が手を上げろ！と命令することに由来）
&lt;span class="spacer"&gt;&lt;/span&gt;&lt;span class="explanation_tag"&gt;イメージ&lt;/span&gt;
［hold up (A)］の核は、上方向へ（up）保持する（hold）こと。ここから全ての意味が生まれている。
&lt;span class="spacer"&gt;&lt;/span&gt;①Aを上へあげて、その状態を保持することから、「Aを持ち上げる」という意味になる。
&lt;span class="spacer"&gt;&lt;/span&gt;②上方向を保持して、下に&lt;strong&gt;崩れ落ちないようにする&lt;/strong&gt;ことから、「持ちこたえる, 耐える」という意味になる。
&lt;span class="spacer"&gt;&lt;/span&gt;③手をあげて制止することや、前に進んで行くAを持ち上げて進行できないようにするイメージから、「Aを遅らせる」という意味になる。
&lt;span class="spacer"&gt;&lt;/span&gt;④強盗が「手を上げろ」と命令したことから、「強盗に入る」という意味になる。
&lt;span class="spacer"&gt;&lt;/span&gt;&lt;span class="explanation_tag"&gt;補足&lt;/span&gt;
hold ~ upの語順にもなる。
&lt;div class="sample_image 2026_391"&gt;&lt;/div&gt;&lt;/span&gt;</t>
    <phoneticPr fontId="1"/>
  </si>
  <si>
    <t>&lt;span class="w"&gt;&lt;b&gt;【392.live on (~)：①〜を常食とする, ②（〜の収入）で生活する, ③生き続ける】&lt;/b&gt;&lt;/span&gt;
&lt;span class="ml"&gt;&lt;span class="explanation_tag"&gt;イメージ&lt;/span&gt;
①と②のonは「&lt;strong&gt;〜の上で&lt;/strong&gt;」という土台を表す。
&lt;span class="spacer"&gt;&lt;/span&gt;③のonは「継続」を表す。onの基本は接触だが、ずっと触れたままというイメージから「&lt;strong&gt;継続&lt;/strong&gt;」になる。
&lt;span class="spacer"&gt;&lt;/span&gt;①［live on 食べ物］で、ある〈食べ物〉を土台にして（on）生きる（live）ことから、「Aを常食とする」という意味になる。
&lt;span class="spacer"&gt;&lt;/span&gt;②［live on お金］で、何らかの〈お金〉を土台にして（on）生きる（live）ことから、「（〜の収入）で生活する」という意味になる。
&lt;span class="spacer"&gt;&lt;/span&gt;③生きる（live）ことがずっと続く（on）ことから、「生き続ける」という意味になる。
&lt;div class="sample_image 2026_392"&gt;&lt;/div&gt;&lt;/span&gt;</t>
    <phoneticPr fontId="1"/>
  </si>
  <si>
    <t>&lt;span class="w"&gt;&lt;b&gt;【393.look to ~：①〜の方を見る, 〜に気をつける, ②〜を頼る】&lt;/b&gt;&lt;/span&gt;
&lt;span class="ml"&gt;&lt;span class="explanation_tag"&gt;イメージ&lt;/span&gt;
［look to A］は、Aの方向へ（to A）視線を向ける（look）ことが基本イメージ。
&lt;span class="spacer"&gt;&lt;/span&gt;①Aへ視線を送ることから「Aの方を見る」という意味になる。
これが状況的に意識や注意の視線を向ける場合であれば、「Aに気をつける」という意味になる。
&lt;span class="spacer"&gt;&lt;/span&gt;②助けが必要なときに、Aに対して視線を向けるイメージから、「Aを頼る」という意味になる。
&lt;div class="sample_image 2026_393"&gt;&lt;/div&gt;&lt;/span&gt;</t>
    <phoneticPr fontId="1"/>
  </si>
  <si>
    <t>&lt;span class="w"&gt;&lt;b&gt;【394.look up ~：①〜を調べる, ②〜を訪問する, ③（be looking upで）景気や状況が好転する, よくなる】&lt;/b&gt;&lt;/span&gt;
&lt;span class="ml"&gt;&lt;span class="explanation_tag"&gt;イメージ&lt;/span&gt;
①・②のupは「下から浮かび上がらせる」イメージ。
&lt;span class="spacer"&gt;&lt;/span&gt;③のupは「上方向」のイメージ。
&lt;span class="spacer"&gt;&lt;/span&gt;①［look up A］は、本・資料・ネットなどで、様々な情報の中からAを浮かび上がらせて（up）視線を向ける（look）ことから、「Aを調べる」という意味になる。
&lt;span class="spacer"&gt;&lt;/span&gt;②は、浮かび上がらせる対象が、①の情報から〈人〉に変わっただけ。たくさんの人の中から人物Aを浮かび上がらせ（up）、会って視線を向ける（look）ことから、「Aを訪問する」という意味になる。
&lt;span class="spacer"&gt;&lt;/span&gt;③［be looking up］は、落ち込んでいる景気や良くない状況が、今まさに上を向いていることを表して、「好転する, よくなる」という意味になる。
&lt;span class="spacer"&gt;&lt;/span&gt;下に落ち込んでいるグラフが上向きに伸び始めている、みんなが顔を下に向けるような状況で上を向き始めている様子をイメージすればよい。
&lt;span class="spacer"&gt;&lt;/span&gt;&lt;span class="explanation_tag"&gt;補足&lt;/span&gt;
①と②は、look ~ upの語順にもなる。
&lt;div class="sample_image 2026_394"&gt;&lt;/div&gt;&lt;/span&gt;</t>
    <phoneticPr fontId="1"/>
  </si>
  <si>
    <t>&lt;span class="w"&gt;&lt;b&gt;【395.put out ~：①（火・灯りなど）〜を消す, ②〜を出す, 〜を発表する】&lt;/b&gt;&lt;/span&gt;
&lt;span class="ml"&gt;&lt;span class="explanation_tag"&gt;語源&lt;/span&gt;
outは、基本となる「内から外へ」に加えて、①1400年頃から「燃えていない, 消えている, 光がない」、②1540年代から「公の目に触れる」という意味で使われた。
&lt;span class="spacer"&gt;&lt;/span&gt;①の「燃えていない」は、内側から外へ出て行って、消えてなくなることから。
&lt;span class="spacer"&gt;&lt;/span&gt;②の「公の目に触れる」は、内部のものが外の人々の前に出ることから。
&lt;span class="spacer"&gt;&lt;/span&gt;&lt;span class="explanation_tag"&gt;①のイメージ&lt;/span&gt;
火や灯りなど、Aを消えている状態（out）に置く（put）ことから、「Aを消す」という意味になる。
&lt;span class="spacer"&gt;&lt;/span&gt;&lt;span class="explanation_tag"&gt;②のイメージ&lt;/span&gt;
Aを内部から外へ（out）置いて（put）人々の目に触れさせることから、「Aを出す, Aを発表する」という意味になる。
&lt;span class="spacer"&gt;&lt;/span&gt;&lt;span class="explanation_tag"&gt;補足&lt;/span&gt;
put ~ outの語順にもなる。
&lt;div class="sample_image 2026_395"&gt;&lt;/div&gt;&lt;/span&gt;</t>
    <phoneticPr fontId="1"/>
  </si>
  <si>
    <t>&lt;span class="w"&gt;&lt;b&gt;【396.settle down：①定住する, 落ち着く, ②（to ~ / to do）腰を据えて〜を始める】&lt;/b&gt;&lt;/span&gt;
&lt;span class="ml"&gt;&lt;span class="explanation_tag"&gt;語源&lt;/span&gt;
settleは、古英語setl（座席）にさかのぼり、席に座ってどっしり構えるように「落ち着かせる」「定住する」「問題を解決する」などの意味になった。
&lt;span class="spacer"&gt;&lt;/span&gt;&lt;span class="explanation_tag"&gt;イメージ&lt;/span&gt;
①は語源の通り、下方向に降ろして（down）席に座る（settle）イメージから、安定した状態になる＝「落ち着く」や、ある場所に落ち着く＝「定住する」という意味になる。
&lt;span class="spacer"&gt;&lt;/span&gt;②［settle down to A / to do］は、しっかり腰を降ろして（settle down）、Aやto doに向き合うことから、「腰を据えてAを始める」「腰を据えて〜し始める」という意味になる。
&lt;div class="sample_image 2026_396"&gt;&lt;/div&gt;&lt;/span&gt;</t>
    <phoneticPr fontId="1"/>
  </si>
  <si>
    <t>&lt;span class="w"&gt;&lt;b&gt;【397.stand by：①傍観する, ②支持する】&lt;/b&gt;&lt;/span&gt;
&lt;span class="ml"&gt;&lt;span class="explanation_tag"&gt;イメージ&lt;/span&gt;
［stand by］は直訳すると、そばに（by）立つ（stand）となる。
&lt;span class="spacer"&gt;&lt;/span&gt;誰かのそばに立っていることから、①そばに立って見ている＝「傍観する」、②そばに立って支える＝「支持する」といった意味になる。
&lt;span class="spacer"&gt;&lt;/span&gt;日本語の待機を表すスタンバイも、stand by（待機する）からきている。
&lt;div class="sample_image 2026_397"&gt;&lt;/div&gt;&lt;/span&gt;</t>
    <phoneticPr fontId="1"/>
  </si>
  <si>
    <t>&lt;span class="w"&gt;&lt;b&gt;【398.stand for ~：①〜を意味する, 〜の略である, ②〜を支持する, ③（主に否定文・疑問文）〜に耐える】&lt;/b&gt;&lt;/span&gt;
&lt;span class="ml"&gt;&lt;span class="explanation_tag"&gt;イメージ&lt;/span&gt;
［stand for A］は、forの&lt;strong&gt;「〜代わりに」「〜のために」「〜に対して」&lt;/strong&gt;という意味をもとに覚える。
&lt;span class="spacer"&gt;&lt;/span&gt;①略語が元の単語の代わりに立つ、ある記号がある意味の代わりに立つとなれば、「Aを意味する, Aの略である」という意味になる。
US J：Universal Studio Japanの代わりに立つ。
赤信号：止まれという意味の代わりに立つ。
&lt;span class="spacer"&gt;&lt;/span&gt;②何かがAのために立つとなれば、「Aを支持する」という意味になる。
&lt;span class="spacer"&gt;&lt;/span&gt;③Aに対して立つ（立ち向かう）となれば、「Aに耐える」という意味になる。
&lt;div class="sample_image 2026_398"&gt;&lt;/div&gt;&lt;/span&gt;</t>
    <phoneticPr fontId="1"/>
  </si>
  <si>
    <t>&lt;span class="w"&gt;&lt;b&gt;【399.take in ~：①〜を取り入れる, ②〜を理解する, ③〜をだます, ④〜を見物する, 見る】&lt;/b&gt;&lt;/span&gt;
&lt;span class="ml"&gt;［take in A］の核は、Aを中に（in）取り込む（take）こと。
&lt;span class="spacer"&gt;&lt;/span&gt;&lt;span class="explanation_tag"&gt;イメージ&lt;/span&gt;
①直訳通り「Aを取り入れる」という意味になる。
&lt;span class="spacer"&gt;&lt;/span&gt;②Aを自分の頭の中に取り入れるイメージから、「Aを理解する」という意味になる。
&lt;span class="spacer"&gt;&lt;/span&gt;③Aを罠の中に取り入れるイメージから、「Aをだます」という意味になる。
&lt;span class="spacer"&gt;&lt;/span&gt;④Aを予定の中に取り入れることから、「Aを見物する」という意味になる。
&lt;span class="spacer"&gt;&lt;/span&gt;&lt;span class="explanation_tag"&gt;補足&lt;/span&gt;
take ~ inの語順にもなる。
&lt;div class="sample_image 2026_399"&gt;&lt;/div&gt;&lt;/span&gt;</t>
    <phoneticPr fontId="1"/>
  </si>
  <si>
    <t>&lt;span class="w"&gt;&lt;b&gt;【400.take on ~：①〜を引き受ける, ②〜を雇う, ③（性質や雰囲気）を帯びる】&lt;/b&gt;&lt;/span&gt;
&lt;span class="ml"&gt;［take on A］の核は、Aを自分の側に（on）受け取る（take）こと。
&lt;span class="spacer"&gt;&lt;/span&gt;&lt;span class="explanation_tag"&gt;イメージ&lt;/span&gt;
①Aを自分の側に受け取ることから、「Aを引き受ける」という意味になる。
&lt;span class="spacer"&gt;&lt;/span&gt;②〈人〉を受け入れることから、「Aを雇う」という意味になる。
&lt;span class="spacer"&gt;&lt;/span&gt;③〈主語〉が、Aを主語自体の表面に取るイメージから、「Aをを帯びる」という意味になる。
&lt;span class="spacer"&gt;&lt;/span&gt;&lt;span class="explanation_tag"&gt;補足&lt;/span&gt;
①と②は、take ~ onの語順にもなる。
&lt;div class="sample_image 2026_400"&gt;&lt;/div&gt;&lt;/span&gt;</t>
    <phoneticPr fontId="1"/>
  </si>
  <si>
    <t>&lt;span class="w"&gt;&lt;b&gt;【401.take to ~：①〜を好きになる, ②〜を習慣的に始める】&lt;/b&gt;&lt;/span&gt;
&lt;span class="ml"&gt;&lt;span class="explanation_tag"&gt;イメージ&lt;/span&gt;
［take to A］は、心がAの方に自然と向かって（to A）それをつかむイメージ。
&lt;span class="spacer"&gt;&lt;/span&gt;①心が自然とAの方に向かってそれをつかむ、自然とAに引き寄せられてしまうイメージから、「Aを好きになる」という意味になる。
&lt;span class="spacer"&gt;&lt;/span&gt;②心がある行動の方に自然と向かってそれをつかむ、自然とAという行動に引き寄せられてしまうイメージから、「Aを習慣的に始める」という意味になる。
&lt;span class="spacer"&gt;&lt;/span&gt;心が向かうという「好き」がある。そして好きが行動に向かえば「習慣的な行動」になる。
&lt;div class="sample_image 2026_401"&gt;&lt;/div&gt;&lt;/span&gt;</t>
    <phoneticPr fontId="1"/>
  </si>
  <si>
    <t>&lt;span class="w"&gt;&lt;b&gt;【402.take up ~：①〜を取り上げる, ②（時間・場所）を取る, ③（趣味・仕事を）〜を始める】&lt;/b&gt;&lt;/span&gt;
&lt;span class="ml"&gt;&lt;span class="explanation_tag"&gt;イメージ&lt;/span&gt;
［take up A］は直訳の通り、何かをつかみ上げるイメージ。
&lt;span class="spacer"&gt;&lt;/span&gt;①実際に物を「つかみ上げる」だけではなく、問題・話題などを「取り上げる」という意味になる。
&lt;span class="spacer"&gt;&lt;/span&gt;②時間や場所をつかみ上げることから、「（時間・場所）を取る」という意味になる。
&lt;span class="spacer"&gt;&lt;/span&gt;③趣味や仕事をつかみ上げるイメージから、「（趣味・仕事）を始める」という意味になる。
&lt;span class="spacer"&gt;&lt;/span&gt;&lt;span class="explanation_tag"&gt;補足&lt;/span&gt;
take ~ upの語順にもなる。
&lt;div class="sample_image 2026_402"&gt;&lt;/div&gt;&lt;/span&gt;</t>
    <phoneticPr fontId="1"/>
  </si>
  <si>
    <t>&lt;span class="w"&gt;&lt;b&gt;【403.turn down ~：①〜を却下する, ②（音量, 火力など）を小さくする】&lt;/b&gt;&lt;/span&gt;
&lt;span class="ml"&gt;&lt;span class="explanation_tag"&gt;①のイメージ&lt;/span&gt;
書類などを裏にひっくり返して（turn）下におく（down）イメージから、「Aを却下する」という意味になる。
&lt;span class="spacer"&gt;&lt;/span&gt;&lt;span class="explanation_tag"&gt;②のイメージ&lt;/span&gt;
ダイヤルを回して（turn）ボリュームを下げる（down）ことから、音量・火力などを「下げる」という意味になる。
&lt;span class="spacer"&gt;&lt;/span&gt;&lt;span class="explanation_tag"&gt;補足&lt;/span&gt;
turn ~ downの語順にもなる。
&lt;div class="sample_image 2026_403"&gt;&lt;/div&gt;&lt;/span&gt;</t>
    <phoneticPr fontId="1"/>
  </si>
  <si>
    <t>&lt;span class="w"&gt;&lt;b&gt;【404.turn in ~：①〜を提出する, ②（警察や窓口に）〜を引き渡す】&lt;/b&gt;&lt;/span&gt;
&lt;span class="ml"&gt;&lt;span class="explanation_tag"&gt;イメージ&lt;/span&gt;
［turn in A］は、自分側やこちら側にあるAを、向きを変えて（turn）他者側の中に（in）入れるイメージ。
&lt;span class="spacer"&gt;&lt;/span&gt;①自分の課題や書類などを、相手の方に向きを変え、相手側の中に入れることから、「Aを提出する」となる。
&lt;span class="spacer"&gt;&lt;/span&gt;②こちら側にある人や物を警察や窓口の方に向けて、その中に入れることから、「〜を引き渡す」という意味になる。
&lt;span class="spacer"&gt;&lt;/span&gt;&lt;span class="explanation_tag"&gt;補足&lt;/span&gt;
turn ~ inの語順にもなる。
&lt;div class="sample_image 2026_404"&gt;&lt;/div&gt;&lt;/span&gt;</t>
    <phoneticPr fontId="1"/>
  </si>
  <si>
    <t>&lt;span class="w"&gt;&lt;b&gt;【406.make out ~：①（canを伴って）〜を理解する, ②（canを伴って）〜を見分ける, ③（書類・小切手など）を作成する】&lt;/b&gt;&lt;/span&gt;
&lt;span class="ml"&gt;&lt;span class="explanation_tag"&gt;イメージ&lt;/span&gt;
①・②ぼんやりした状態から外に出して（out）はっきりと形作る（make）イメージから、「理解する」や「見分ける」という意味になる。
&lt;span class="spacer"&gt;&lt;/span&gt;③直訳通り、何かを作り出すことから「作成する」という意味になる。
&lt;div class="sample_image 2026_406"&gt;&lt;/div&gt;&lt;/span&gt;</t>
    <phoneticPr fontId="1"/>
  </si>
  <si>
    <t>&lt;span class="w"&gt;&lt;b&gt;【408.provide for ~：①〜を扶養する, ②〜に備える, ③（法律や条約が）〜を規定する】&lt;/b&gt;&lt;/span&gt;
&lt;span class="ml"&gt;&lt;span class="explanation_tag"&gt;語源&lt;/span&gt;
provideは、ラテン語pro（前もって）と、videre（見る）が合わさってできた語に由来する。あらかじめ先のことを見て用意することから、「供給する, 備える」という意味になる。
&lt;span class="spacer"&gt;&lt;/span&gt;&lt;span class="explanation_tag"&gt;イメージ&lt;/span&gt;
［provide for A］は、Aのために（for A）必要なものを用意して与える（provide）というイメージ。
&lt;span class="spacer"&gt;&lt;/span&gt;①〈人〉のために、必要なものを用意して与えることから、「〈人〉を扶養する」という意味になる。
&lt;span class="spacer"&gt;&lt;/span&gt;②将来や不測の事態のために、必要なものを用意して与えることから、「Aに備える」という意味になる。
&lt;span class="spacer"&gt;&lt;/span&gt;③法律や条約などが、将来の事態のために、必要なものを用意することから、「Aを規定する」という意味になる。
&lt;div class="sample_image 2026_408"&gt;&lt;/div&gt;&lt;/span&gt;</t>
    <phoneticPr fontId="1"/>
  </si>
  <si>
    <t>&lt;span class="w"&gt;&lt;b&gt;【409.put down ~：①〜を置く, ②〜を書き留める, ③〜を抑える（鎮める）】&lt;/b&gt;&lt;/span&gt;
&lt;span class="ml"&gt;&lt;span class="explanation_tag"&gt;イメージ&lt;/span&gt;
［put down A］の核は、Aを下に置くという動き。
&lt;span class="spacer"&gt;&lt;/span&gt;①putだけではどこに置くかわからないが、downが付くことで下に「Aを置く」という意味になる。
&lt;span class="spacer"&gt;&lt;/span&gt;②頭の中の言葉や情報を下に下ろして置くイメージから、「Aを書き留める」という意味になる。
&lt;span class="spacer"&gt;&lt;/span&gt;③熱気やエネルギーが込み上げる状態を下方向に置くイメージから、「Aを抑える, 鎮める」という意味になる。
&lt;div class="sample_image 2026_409"&gt;&lt;/div&gt;&lt;/span&gt;</t>
    <phoneticPr fontId="1"/>
  </si>
  <si>
    <t>&lt;span class="w"&gt;&lt;b&gt;【411.set out (~)：①出発する, ②（to do）〜し始める, ③〜を並べる, 提示する】&lt;/b&gt;&lt;/span&gt;
&lt;span class="ml"&gt;&lt;span class="explanation_tag"&gt;イメージ&lt;/span&gt;
①いろいろ準備して（set）外に出る（out）ことから、「出発する」という意味になる。
&lt;span class="spacer"&gt;&lt;/span&gt;②現状から、いろいろ準備して（set）外に出て（out）to doに向かうイメージから、「〜をし始める」という意味になる。
&lt;span class="spacer"&gt;&lt;/span&gt;③内部にあるものを、外に出して（out）見える形にセットする（set）ことから、「並べる, 提示する」という意味になる。
&lt;div class="sample_image 2026_411"&gt;&lt;/div&gt;&lt;/span&gt;</t>
    <phoneticPr fontId="1"/>
  </si>
  <si>
    <t>&lt;span class="w"&gt;&lt;b&gt;【412.be due to ~：〜のため（結果）である, ②（be due to do）〜する予定である, 〜することになっている】&lt;/b&gt;&lt;/span&gt;
&lt;span class="ml"&gt;&lt;span class="explanation_tag"&gt;語源&lt;/span&gt;
dueは、ラテン語de（離れて）と、habere（持つ）が合わさってできた語。誰かのものを離れて持っている、つまり借りていることを表した。そして、借りている状態であれば、それを返さなければならないという義務感が生じ、「当然支払われるべき, 当然そうなるべき, 予定された, 期日の」などの意味になった。
&lt;span class="spacer"&gt;&lt;/span&gt;&lt;span class="explanation_tag"&gt;イメージ&lt;/span&gt;
①［S be due to A］は語源からイメージすると、SはAに借りがある状態。つまり、AがあることでSが成り立っているイメージになる。そこから「SはAのため（結果）である」という意味になる。
&lt;span class="spacer"&gt;&lt;/span&gt;②［S be due to do］は、dueが持つ「当然〜すべき」という義務感が表れた表現。つまり、Sはto doを当然すべき状態になっていることから、「〜する予定である, 〜することになっている」という意味になる。
&lt;div class="sample_image 2026_412"&gt;&lt;/div&gt;&lt;/span&gt;</t>
    <phoneticPr fontId="1"/>
  </si>
  <si>
    <t>&lt;span class="w"&gt;&lt;b&gt;【413.up to ~：①〜まで, ②〜次第である, ③（be up to ~）〜しようとしている】&lt;/b&gt;&lt;/span&gt;
&lt;span class="ml"&gt;&lt;span class="explanation_tag"&gt;イメージ&lt;/span&gt;
［up to A］は、上方向への動き（up）の到達点がAである（to A）ことを表す。
&lt;span class="spacer"&gt;&lt;/span&gt;①何かがAのところまで上がってくるイメージから、最大を示して「Aまで」という意味になる。
&lt;span class="spacer"&gt;&lt;/span&gt;②判断や決定の場所が最終的に上がってくるところを表して、「A次第」という意味になる。
&lt;span class="spacer"&gt;&lt;/span&gt;③このupは、準備運動のアップと同じで活動状態になるイメージ。toで活動の対象を示して、「〜をしようとしている」という意味になる。
&lt;div class="sample_image 2026_413"&gt;&lt;/div&gt;&lt;/span&gt;</t>
    <phoneticPr fontId="1"/>
  </si>
  <si>
    <t>&lt;span class="w"&gt;&lt;b&gt;【414.at large：①逮捕されないで, 逃走中で, ②（名詞の後に置いて）一般の, 全体の】&lt;/b&gt;&lt;/span&gt;
&lt;span class="ml"&gt;&lt;span class="explanation_tag"&gt;語源&lt;/span&gt;
largeは、ラテン語largus（豊富な, 気前のよい, 寛大な）&lt;span class="arrow"&gt;→&lt;/span&gt;古フランス語large（広い, 寛大な, 豊富な）に由来する。
&lt;span class="spacer"&gt;&lt;/span&gt;1200年頃に英語に入ったlargeは、14世紀後期までは「気前がよい」「寛大な」「広大な」「豊富な」「数が多い」といった意味を持ち、物理的な広さだけではなく、心の広さ・数量の広がりなど、様々な「広さ」を表した。
&lt;span class="spacer"&gt;&lt;/span&gt;形容詞largeは、14世紀後期に名詞として使われるようになる。その表現の一つが［at large］である。
&lt;span class="spacer"&gt;&lt;/span&gt;［at large］の核は、制限がなく広がっているということ。
&lt;span class="spacer"&gt;&lt;/span&gt;①投獄や拘束といった制限がなく自由に外を歩き回れるという、行動が無制限に広がっている状態を表して、「逮捕されないで, 逃走中で」という意味になった。
&lt;span class="spacer"&gt;&lt;/span&gt;②1620年代には、特定の制限がなく広く一般的であることを表して、「一般の, 全体の」という意味にもなった。
&lt;div class="sample_image 2026_414"&gt;&lt;/div&gt;&lt;/span&gt;</t>
    <phoneticPr fontId="1"/>
  </si>
  <si>
    <t>&lt;span class="w"&gt;&lt;b&gt;【416.all but ~：①〜以外すべて, ②〜も同然, ほとんど〜】&lt;/b&gt;&lt;/span&gt;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class="spacer"&gt;&lt;/span&gt;&lt;span class="explanation_tag"&gt;イメージ&lt;/span&gt;
［all but A］のbutは「〜以外」という意味。
&lt;span class="spacer"&gt;&lt;/span&gt;①後ろに名詞が続き、「A以外すべて」という意味になる。
&lt;span class="spacer"&gt;&lt;/span&gt;②後ろに形容詞・動詞が続き、A以外はすべてを満たしていて、あとはAだけであることを表す。そこから「Aも同然, ほとんどA」という意味になる。
&lt;div class="sample_image 2026_416"&gt;&lt;/div&gt;&lt;/span&gt;</t>
    <phoneticPr fontId="1"/>
  </si>
  <si>
    <t>&lt;span class="w"&gt;&lt;b&gt;【417.at length：①長々と, 詳細に, ②ついに】&lt;/b&gt;&lt;/span&gt;
&lt;span class="ml"&gt;&lt;span class="explanation_tag"&gt;イメージ&lt;/span&gt;
lengthは、longの名詞で「長さ」という意味。
&lt;span class="spacer"&gt;&lt;/span&gt;①十分な説明の言葉や時間の長さ（length）で（at）というイメージから、「長々と, 詳細に」という意味になる。
&lt;span class="spacer"&gt;&lt;/span&gt;②時間的な長さ（length）を経て、ある点に（at）到達するイメージから、「ついに」という意味になる。
&lt;div class="sample_image 2026_417"&gt;&lt;/div&gt;&lt;/span&gt;</t>
    <phoneticPr fontId="1"/>
  </si>
  <si>
    <t>&lt;span class="w"&gt;&lt;b&gt;【418.next to ~：①〜の隣に, 〜の次の, ②（否定的な語の前に置いて）ほとんど〜】&lt;/b&gt;&lt;/span&gt;
&lt;span class="ml"&gt;&lt;span class="explanation_tag"&gt;イメージ&lt;/span&gt;
①［next to A］は、Aに対して（to A）隣（next）というイメージから、「Aの隣に, Aの次に」という意味になる。
&lt;span class="spacer"&gt;&lt;/span&gt;②すぐ隣にあるということから、ほぼそれに近くて等しいというイメージになり、「ほとんど〜」という意味になる。
&lt;div class="sample_image 2026_418"&gt;&lt;/div&gt;&lt;/span&gt;</t>
    <phoneticPr fontId="1"/>
  </si>
  <si>
    <t>&lt;span class="w"&gt;&lt;b&gt;【419.on end：①連続して, ②（横になっているものが）直立して, 垂直に】&lt;/b&gt;&lt;/span&gt;
&lt;span class="ml"&gt;&lt;span class="explanation_tag"&gt;語源&lt;/span&gt;
endは、もともとは「反対側」という意味。下のXから見た反対側がendであり、そこから「終わり, 端」という意味になった。
【X　　end】（終わり, 端）
&lt;span class="spacer"&gt;&lt;/span&gt;&lt;span class="explanation_tag"&gt;イメージ&lt;/span&gt;
①［on end］は、終わり（end）に次の開始が接触（on）しているイメージから、「連続して」という意味になる。
&lt;span class="spacer"&gt;&lt;/span&gt;②地面に横になっているもの（全体が地面に接しているもの）を、端だけを地面に接触させるイメージから、「直立して, 垂直に」という意味になる。
&lt;div class="sample_image 2026_419"&gt;&lt;/div&gt;&lt;/span&gt;</t>
    <phoneticPr fontId="1"/>
  </si>
  <si>
    <t>&lt;span class="w"&gt;&lt;b&gt;【420.by way of ~：①〜経由で, ②〜として, 〜のつもりで】&lt;/b&gt;&lt;/span&gt;
&lt;span class="ml"&gt;&lt;span class="explanation_tag"&gt;イメージ&lt;/span&gt;
①の「by way of A」は直訳すると、Aの道（way of A）によって（by）となる。通過するルートを表して「A経由で」という意味になる。
&lt;span class="spacer"&gt;&lt;/span&gt;②の［by way of A］は、Aの道・方法（way of A）のすぐそば（by）と考える。Aの道・方法は本道が一本あるが、それに沿ったすぐそばの別の道を行くイメージから、「Aとして, Aのつもりで」という意味になる。
&lt;span class="spacer"&gt;&lt;/span&gt;&lt;span class="explanation_tag"&gt;例&lt;/span&gt;
I brought a cake by way of apology.
私は謝罪として/ 謝罪のつもりでケーキを買った。
&lt;span class="spacer"&gt;&lt;/span&gt;謝罪の方法としては「ごめんなさい」と言葉で伝えることが本道だとすれば、それに沿ったすぐそばの別の道（ケーキを買う）を進む。そこから「謝罪&lt;strong&gt;として / のつもりで&lt;/strong&gt;ケーキを買った」という意味になる。
&lt;div class="sample_image 2026_420"&gt;&lt;/div&gt;&lt;/span&gt;</t>
    <phoneticPr fontId="1"/>
  </si>
  <si>
    <t>&lt;span class="w"&gt;&lt;b&gt;【422.adapt to ~：（環境・状況に）適応する】&lt;/b&gt;&lt;/span&gt;
&lt;span class="ml"&gt;&lt;span class="explanation_tag"&gt;語源&lt;/span&gt;
adaptは、ラテン語ad（〜へ）と、aptus（適合した）が合わさってできた語。何かへ適合した状態にすることから、「適応する, 適応させる」という意味になる。
&lt;span class="spacer"&gt;&lt;/span&gt;［adapt to A］は、to Aで対象を示して、「Aに適応する」という意味になる。
&lt;div class="sample_image 2026_422"&gt;&lt;/div&gt;&lt;/span&gt;</t>
    <phoneticPr fontId="1"/>
  </si>
  <si>
    <t>&lt;span class="w"&gt;&lt;b&gt;【423.object to ~：〜に反対する】&lt;/b&gt;&lt;/span&gt;
&lt;span class="ml"&gt;&lt;span class="explanation_tag"&gt;語源&lt;/span&gt;
objectは、ラテン語ob（～に対して）と、icere（投げる）が合わさってできた語。行為・提案・決定・状況などを受け入れるのではなく、それに対して投げつけるというイメージから、「反対する」という意味になる。
&lt;span class="spacer"&gt;&lt;/span&gt;［object to A］は、to Aで投げつける対象を示して、「Aに反対する」という意味になる。
&lt;div class="sample_image 2026_423"&gt;&lt;/div&gt;&lt;/span&gt;</t>
    <phoneticPr fontId="1"/>
  </si>
  <si>
    <t>&lt;span class="w"&gt;&lt;b&gt;【424.admit to ~：〜を認める, 〜を白状する】&lt;/b&gt;&lt;/span&gt;
&lt;span class="ml"&gt;&lt;span class="explanation_tag"&gt;語源&lt;/span&gt;
admitは、ラテン語ad（～へ）と、mittere（送る, 放つ）が合わさってできた語。これは、外から来たものをそのまま内側へ送るイメージ。そこから、議論において主張や真実を内側に送る＝「認める」という意味になる。
&lt;span class="spacer"&gt;&lt;/span&gt;［admit to A］は、to Aで認める対象を示して、「Aを認める, Aを白状する」という意味になる。
&lt;div class="sample_image 2026_424"&gt;&lt;/div&gt;&lt;/span&gt;</t>
    <phoneticPr fontId="1"/>
  </si>
  <si>
    <t>&lt;span class="w"&gt;&lt;b&gt;【425.conform to / with ~：〜に合わせる, 〜に一致する, 〜に従う】&lt;/b&gt;&lt;/span&gt;
&lt;span class="ml"&gt;&lt;span class="explanation_tag"&gt;語源&lt;/span&gt;
conformは、ラテン語com（共に）と、formare（形作る）が合わさってできた語。何かと何かを同じ形にすることから、「一致する, 合わせる」といった意味になる。
&lt;span class="spacer"&gt;&lt;/span&gt;&lt;span class="explanation_tag"&gt;イメージ&lt;/span&gt;
［S conform to A］は語源から考えると、SはAと（to / with A）同じ形にする（conform）となる。つまり、Sは「Aに合わせる, 一致する」という意味になる。
&lt;span class="spacer"&gt;&lt;/span&gt;規則や基準に一致させるなら、「Aに従う」という訳になる。
&lt;div class="sample_image 2026_425"&gt;&lt;/div&gt;&lt;/span&gt;</t>
    <phoneticPr fontId="1"/>
  </si>
  <si>
    <t>&lt;span class="w"&gt;&lt;b&gt;【426.resort to ~：（手段）に訴える, に頼る】&lt;/b&gt;&lt;/span&gt;
&lt;span class="ml"&gt;&lt;span class="explanation_tag"&gt;語源&lt;/span&gt;
resortは、フランス語re（再び）と、sortir（外出する）が合わさってできた語。もともとは、特定の場所へ繰り返し行くことを表した。特に、困ったときに頼りになる場所へ何度も足を運び、助けを求めるという意味で使われたことから、他の方法がなくて何らかの「手段に訴える」という意味になった。
&lt;span class="spacer"&gt;&lt;/span&gt;&lt;span class="explanation_tag"&gt;イメージ&lt;/span&gt;
［resort to A］は、to Aで頼る手段を表して、「Aという手段に訴える, 頼る」という意味になる。
&lt;div class="sample_image 2026_426"&gt;&lt;/div&gt;&lt;/span&gt;</t>
    <phoneticPr fontId="1"/>
  </si>
  <si>
    <t>&lt;span class="w"&gt;&lt;b&gt;【427.keep to ~：〜に沿って進む, 〜から離れない, 〜に従う】&lt;/b&gt;&lt;/span&gt;
&lt;span class="ml"&gt;&lt;span class="explanation_tag"&gt;イメージ&lt;/span&gt;
［keep to A］は、Aの方に寄る状態をキープするイメージ。そこから、「Aに沿って進む」「Aから離れない」「Aに従う」という意味になる。
&lt;div class="sample_image 2026_427"&gt;&lt;/div&gt;&lt;/span&gt;</t>
    <phoneticPr fontId="1"/>
  </si>
  <si>
    <t>&lt;span class="w"&gt;&lt;b&gt;【428.get to ~：①〜に着く, ②（get to do）〜できる, 〜するようになる】&lt;/b&gt;&lt;/span&gt;
&lt;span class="ml"&gt;&lt;span class="explanation_tag"&gt;イメージ&lt;/span&gt;
①［get to A］は、場所Aに向かって（to A）そこにいる状態をゲットすることから、「Aに着く」という意味になる。
&lt;span class="spacer"&gt;&lt;/span&gt;②［get to do］は、何かをする状況をゲットするイメージから、「〜できる, 〜するようになる」という意味になる。
&lt;div class="sample_image 2026_428"&gt;&lt;/div&gt;&lt;/span&gt;</t>
    <phoneticPr fontId="1"/>
  </si>
  <si>
    <t>&lt;span class="w"&gt;&lt;b&gt;【429.adhere to ~：（主義・規則など）に忠実に従う, 〜にくっつく】&lt;/b&gt;&lt;/span&gt;
&lt;span class="ml"&gt;&lt;span class="explanation_tag"&gt;語源&lt;/span&gt;
adhereは、ラテン語ad（〜へ）と、herere（くっつく）が合わさってできた語。そこから「〜にくっつく」という意味になる。
&lt;span class="spacer"&gt;&lt;/span&gt;さらに、主義や規則にぴったりくっつくことから、「（主義・規則）に従う」という意味になる。
&lt;div class="sample_image 2026_429"&gt;&lt;/div&gt;&lt;/span&gt;</t>
    <phoneticPr fontId="1"/>
  </si>
  <si>
    <t>&lt;span class="w"&gt;&lt;b&gt;【430.reflect on ~：〜熟考する, 〜を反省する】&lt;/b&gt;&lt;/span&gt;
&lt;span class="ml"&gt;&lt;span class="explanation_tag"&gt;イメージ&lt;/span&gt;
［reflect on A］は、自分の心や意識を対象Aに向け、そこから自分に返ってきたものを、さらに対象Aに向けることを繰り返すイメージから、「Aを熟考する, Aを反省する」という意味になる。
&lt;div class="sample_image 2026_430"&gt;&lt;/div&gt;&lt;/span&gt;</t>
    <phoneticPr fontId="1"/>
  </si>
  <si>
    <t>&lt;span class="w"&gt;&lt;b&gt;【431.dicide on ~：（複数の選択肢から）〜に決める】&lt;/b&gt;&lt;/span&gt;
&lt;span class="ml"&gt;&lt;span class="explanation_tag"&gt;イメージ&lt;/span&gt;
［decide］は、ただ「決断する, 決定する」だけ。
&lt;span class="spacer"&gt;&lt;/span&gt;［decide on A］は、選択肢や候補がある中で、「Aに決める」というニュアンス。
&lt;div class="sample_image 2026_431"&gt;&lt;/div&gt;&lt;/span&gt;</t>
    <phoneticPr fontId="1"/>
  </si>
  <si>
    <t>&lt;span class="w"&gt;&lt;b&gt;【432.fall on ~：①（責任・仕事などが）〜に降りかかる, （出来事・休日などが）〜に当たる】&lt;/b&gt;&lt;/span&gt;
&lt;span class="ml"&gt;&lt;span class="explanation_tag"&gt;イメージ&lt;/span&gt;
［fall on A］は、Aの上に（on A）落ちてくる（fall）イメージ。
&lt;span class="spacer"&gt;&lt;/span&gt;①［S fall on 人］で、S（責任・仕事など）が〈人〉の上に落ちてくることから、「人に降りかかる」という意味になる。
&lt;span class="spacer"&gt;&lt;/span&gt;②［S fall on 日］で、S（出来事・休日など）が〈ある日〉の上に落ちてくることから、「Aに当たる」という意味になる。
例えば、今年はクリスマスは日曜日に当たる、会議が私の誕生日に当たる、など。
&lt;div class="sample_image 2026_432"&gt;&lt;/div&gt;&lt;/span&gt;</t>
    <phoneticPr fontId="1"/>
  </si>
  <si>
    <t>&lt;span class="w"&gt;&lt;b&gt;【434.run into ~：①〜にぶつかる, ②〜を偶然見つける, 〜に偶然出会う】&lt;/b&gt;&lt;/span&gt;
&lt;span class="ml"&gt;&lt;span class="explanation_tag"&gt;イメージ&lt;/span&gt;
［run into A］は直訳すると、Aの中に（into A）走り込む（run）となる。走っていてAの中に入り込むようになることから、①「Aにぶつかる」という意味になる。
&lt;span class="spacer"&gt;&lt;/span&gt;またぶつかるというのは、意図せず何かと接触するイメージなので、②「Aを偶然見つける, Aに偶然出会う」という意味になる。
&lt;div class="sample_image 2026_434"&gt;&lt;/div&gt;&lt;/span&gt;</t>
    <phoneticPr fontId="1"/>
  </si>
  <si>
    <t>&lt;span class="w"&gt;&lt;b&gt;【435.break into ~ ：①〜に侵入する, ②急に〜しだす】&lt;/b&gt;&lt;/span&gt;
&lt;span class="ml"&gt;&lt;span class="explanation_tag"&gt;イメージ&lt;/span&gt;
［break into A］は、物理的な壁や現在の状況などを壊して（break）Aの中へ入り込む（into）イメージ。
&lt;span class="spacer"&gt;&lt;/span&gt;①物理的な壁を壊すように内部に入り込むことから、「Aに侵入する」という意味になる。
&lt;span class="spacer"&gt;&lt;/span&gt;②現在の状況を壊して、ある行動に入り込むことから、「急にAしだす」という意味になる。
&lt;div class="sample_image 2026_435"&gt;&lt;/div&gt;&lt;/span&gt;</t>
    <phoneticPr fontId="1"/>
  </si>
  <si>
    <t>&lt;span class="w"&gt;&lt;b&gt;【436.enter into ~：①（議論などを）始める, ②（契約など）を取り結ぶ】&lt;/b&gt;&lt;/span&gt;
&lt;span class="ml"&gt;&lt;span class="explanation_tag"&gt;イメージ&lt;/span&gt;
［enter A］は、物理的な場所に入るイメージ。
&lt;span class="spacer"&gt;&lt;/span&gt;［enter into A］は、ある議論・活動・関係に入り込むイメージ。このイメージをもとに文脈に応じて日本語にすればよい。
&lt;span class="spacer"&gt;&lt;/span&gt;①Aが議論や活動であれば、「Aを始める」という意味になる。
&lt;span class="spacer"&gt;&lt;/span&gt;②Aが契約や関係であれば、「Aを取り結ぶ」という意味になる。
&lt;div class="sample_image 2026_436"&gt;&lt;/div&gt;&lt;/span&gt;</t>
    <phoneticPr fontId="1"/>
  </si>
  <si>
    <t>&lt;span class="w"&gt;&lt;b&gt;【437.burst into ~：①急に〜しだす, ②〜に突入する】&lt;/b&gt;&lt;/span&gt;
&lt;span class="ml"&gt;&lt;span class="explanation_tag"&gt;イメージ&lt;/span&gt;
［burst into A］は、パンッと破裂するように、ある状況からAの中に勢いよく入っていくイメージ。
&lt;span class="spacer"&gt;&lt;/span&gt;①内側から破裂するように突然ある行動に入ることを表して、「急に〜しだす」という意味になる。
&lt;span class="spacer"&gt;&lt;/span&gt;②破裂するように勢いよく内部に入ってくることから、「〜に突入する」という意味になる。
&lt;div class="sample_image 2026_437"&gt;&lt;/div&gt;&lt;/span&gt;</t>
    <phoneticPr fontId="1"/>
  </si>
  <si>
    <t>&lt;span class="w"&gt;&lt;b&gt;【438.dispose of ~：〜を処分する】&lt;/b&gt;&lt;/span&gt;
&lt;span class="ml"&gt;&lt;span class="explanation_tag"&gt;語源&lt;/span&gt;
disposeは、ラテン語dis（離れて）と、ponere（置く）が合わさってできた語。離れたところに置くことから、「処分する」という意味になる。
&lt;span class="spacer"&gt;&lt;/span&gt;&lt;span class="explanation_tag"&gt;イメージ&lt;/span&gt;
［dispose of A］は語源的に考えると、Aを分離して（off A）離れたところに置く（dispose）ことから、「Aを処分する」という意味になる。
&lt;div class="sample_image 2026_438"&gt;&lt;/div&gt;&lt;/span&gt;</t>
    <phoneticPr fontId="1"/>
  </si>
  <si>
    <t>&lt;span class="w"&gt;&lt;b&gt;【439.approve of ~：〜に賛成する】&lt;/b&gt;&lt;/span&gt;
&lt;span class="ml"&gt;&lt;span class="explanation_tag"&gt;語源&lt;/span&gt;
approveは、ラテン語ad（〜へ）と、probare（良いか確かめるために試す）が合わさってできた語。何かに対して、それが良いかどうかを確かめて、その結果、良いと認めて「賛成する, 承認する」という意味になる。
&lt;span class="spacer"&gt;&lt;/span&gt;prove（証明する）やproof（証拠）もラテン語probareに由来する。
&lt;span class="spacer"&gt;&lt;/span&gt;&lt;span class="explanation_tag"&gt;イメージ&lt;/span&gt;
［approve of A］は語源から考えると、個々人がAについて（of A）良いと認める（approve）イメージ。そこから「Aに賛成する」という意味になる。
&lt;div class="sample_image 2026_439"&gt;&lt;/div&gt;&lt;/span&gt;</t>
    <phoneticPr fontId="1"/>
  </si>
  <si>
    <t>&lt;span class="w"&gt;&lt;b&gt;【440.boast of / about ~：〜を自慢する】&lt;/b&gt;&lt;/span&gt;
&lt;span class="ml"&gt;&lt;span class="explanation_tag"&gt;語源&lt;/span&gt;
boastは、印欧祖語*bhou-（膨らむ）にさかのぼる。胸を張り、体が膨らむように誇らしげに見せびらかすことから、何かを「自慢する」という意味になった。
&lt;span class="spacer"&gt;&lt;/span&gt;そこから［boast of / about A］は、「Aについて自慢する」という意味になる。
&lt;div class="sample_image 2026_440"&gt;&lt;/div&gt;&lt;/span&gt;</t>
    <phoneticPr fontId="1"/>
  </si>
  <si>
    <t>&lt;span class="w"&gt;&lt;b&gt;【441.become of ~：（主にwhat / whateverが主語になって）〜はどうなるか】&lt;/b&gt;&lt;/span&gt;
&lt;span class="ml"&gt;&lt;span class="explanation_tag"&gt;語源&lt;/span&gt;
becomeは、古英語be＋cumanにさかのぼる。現代英語で考えるとby（そばに）＋come（来る）から成り、もともとは、何かがそばに来ることから、「起こる, 降りかかる」という意味を持っていた。
&lt;span class="spacer"&gt;&lt;/span&gt;現在の、ある状態から別の状態に変化する（〜になる）という意味が生まれたのは、12世紀のこと。
&lt;span class="spacer"&gt;&lt;/span&gt;［(what) become of A］のbecomeは、「起こる」という古い意味を保持している。直訳すると、Aについて（of A）何が起こるのか（what become）となる。
&lt;span class="spacer"&gt;&lt;/span&gt;「Aに何が起こるのか」から「Aはどうなるのか」という意味になる。
&lt;div class="sample_image 2026_441"&gt;&lt;/div&gt;&lt;/span&gt;</t>
    <phoneticPr fontId="1"/>
  </si>
  <si>
    <t>&lt;span class="w"&gt;&lt;b&gt;【442.derive from ~：〜に由来する, 〜から出ている】&lt;/b&gt;&lt;/span&gt;
&lt;span class="ml"&gt;&lt;span class="explanation_tag"&gt;語源&lt;/span&gt;
deriveは、ラテン語de（〜から）と、rivus（川, 水流）が合わさってできた語。川などの水流から水を引いてくることから、ある源から生まれる＝「由来する」という意味になった。
&lt;span class="spacer"&gt;&lt;/span&gt;&lt;span class="explanation_tag"&gt;イメージ&lt;/span&gt;
［derive from A］は語源の通り、Aから何かを引き出すことを表して、「Aに由来する, Aから出ている」という意味になる。
&lt;div class="sample_image 2026_442"&gt;&lt;/div&gt;&lt;/span&gt;</t>
    <phoneticPr fontId="1"/>
  </si>
  <si>
    <t>&lt;span class="w"&gt;&lt;b&gt;【444.interfere with ~：〜の邪魔をする】&lt;/b&gt;&lt;/span&gt;
&lt;span class="ml"&gt;&lt;span class="explanation_tag"&gt;語源&lt;/span&gt;
interfereは、古フランス語entre（〜の間に）と、ferir（打つ）が合わさってできた語。間に入り込んでぶつかる（打つ）イメージから、何かの「邪魔をする」「干渉する」という意味になる。
&lt;span class="spacer"&gt;&lt;/span&gt;&lt;span class="explanation_tag"&gt;イメージ&lt;/span&gt;
［interfere with A］は、何かが行われているときに、間に入り込んでAとぶつかるイメージから、「Aの邪魔をする」という意味になる。
&lt;div class="sample_image 2026_444"&gt;&lt;/div&gt;&lt;/span&gt;</t>
    <phoneticPr fontId="1"/>
  </si>
  <si>
    <t>&lt;span class="w"&gt;&lt;b&gt;【445.part with ~：（しぶしぶ、手放したくない物）を手放す】&lt;/b&gt;&lt;/span&gt;
&lt;span class="ml"&gt;&lt;span class="explanation_tag"&gt;イメージ&lt;/span&gt;
［part with A］は、Aにくっいていた、Aと一緒にあった物（with A）を、部分として分ける（part）イメージ。そこから、まるで自分の一部のような愛着のある「Aを手放す」という意味になる。
&lt;div class="sample_image 2026_445"&gt;&lt;/div&gt;&lt;/span&gt;</t>
    <phoneticPr fontId="1"/>
  </si>
  <si>
    <t>&lt;span class="w"&gt;&lt;b&gt;【448.go about ~：①〜に取り掛かる, ②（いつも通り）〜に淡々とこなす】&lt;/b&gt;&lt;/span&gt;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［go about A］は、Aの周囲を動き回ってあれこれ行動するイメージ。そこから「Aに取り組む」や、いつもやっているようなことを「淡々とこなす」という意味になる。
&lt;div class="sample_image 2026_448"&gt;&lt;/div&gt;&lt;/span&gt;</t>
    <phoneticPr fontId="1"/>
  </si>
  <si>
    <t>&lt;span class="w"&gt;&lt;b&gt;【449.run across ~：①〜を走って横切る, ②〜を偶然見つける, 〜に偶然出会う】&lt;/b&gt;&lt;/span&gt;
&lt;span class="ml"&gt;&lt;span class="explanation_tag"&gt;イメージ&lt;/span&gt;
①直訳通り、「Aを走って横切る」という意味になる。
&lt;span class="spacer"&gt;&lt;/span&gt;②十字の道を走っていたら、真ん中でバッタリ出会うイメージ。そこから「Aに偶然出会う, Aを偶然見つける」という思いがけない、人や物との出会いを意味する。
&lt;div class="sample_image 2026_449"&gt;&lt;/div&gt;&lt;/span&gt;</t>
    <phoneticPr fontId="1"/>
  </si>
  <si>
    <t>&lt;span class="w"&gt;&lt;b&gt;【454.tie up (~)：①（物理的・時間的に）〜を拘束する, ②提携する】&lt;/b&gt;&lt;/span&gt;
&lt;span class="ml"&gt;&lt;span class="explanation_tag"&gt;イメージ&lt;/span&gt;
［tie up (A)］のupは「完全に」という意味。tieは、首に結ぶネクタイ（necktie）と同じで、「結ぶ」という意味。
&lt;span class="spacer"&gt;&lt;/span&gt;Aを完全に（up）縛る（tie）ことから、物理的に「Aを拘束する」、用事などが「人の時間を拘束する」、お互いを結びつけて協力関係を結ぶ＝「提携する」といった意味になる。
&lt;div class="sample_image 2026_454"&gt;&lt;/div&gt;&lt;/span&gt;</t>
    <phoneticPr fontId="1"/>
  </si>
  <si>
    <t>&lt;span class="w"&gt;&lt;b&gt;【456.blow up (~)：①爆発する, 〜を爆破する, ②かっとなる】&lt;/b&gt;&lt;/span&gt;
&lt;span class="ml"&gt;&lt;span class="explanation_tag"&gt;語源&lt;/span&gt;
blowは、印欧祖語*bhle-（吹く）にさかのぼる。flute（楽器のフルート）も同じ語源に関連し、これらの語の核は「空気の流れ」。そこから「風が吹く, 息を吹く, 吹き飛ばす, 爆破する」という意味になった。
&lt;span class="spacer"&gt;&lt;/span&gt;&lt;span class="explanation_tag"&gt;イメージ&lt;/span&gt;
［blow up (A)］は、中から外に空気が流れて（blow）膨れ上がる（up）イメージ。そこから、①膨れ上がって「爆発する」、②何かを「爆破する」、③感情が爆発する＝「かっとなる」といった意味になる。
&lt;span class="spacer"&gt;&lt;/span&gt;&lt;span class="explanation_tag"&gt;補足&lt;/span&gt;
blow ~ upの語順にもなる。
&lt;div class="sample_image 2026_456"&gt;&lt;/div&gt;&lt;/span&gt;</t>
    <phoneticPr fontId="1"/>
  </si>
  <si>
    <t>&lt;span class="w"&gt;&lt;b&gt;【457.call up (~)：①（〜に）電話をかける, ②（記憶・勇気など）を呼び起こす】&lt;/b&gt;&lt;/span&gt;
&lt;span class="ml"&gt;&lt;span class="explanation_tag"&gt;イメージ&lt;/span&gt;
［call up (A)］は、奥にあるものや隠れているものを上に（up）呼び出す（call）イメージ。そこから以下の意味になる。
&lt;span class="spacer"&gt;&lt;/span&gt;①奥にいる相手を電話口まで呼び出すことから「Aに電話をかける」
&lt;span class="spacer"&gt;&lt;/span&gt;②奥底にある記憶や勇気などを表に呼び出すことから「Aを呼び起こす」
&lt;span class="spacer"&gt;&lt;/span&gt;&lt;span class="explanation_tag"&gt;補足&lt;/span&gt;
call ~ upの語順にもなる。
&lt;div class="sample_image 2026_457"&gt;&lt;/div&gt;&lt;/span&gt;</t>
    <phoneticPr fontId="1"/>
  </si>
  <si>
    <t>&lt;span class="w"&gt;&lt;b&gt;【460.cut down / back (on ~)：（〜の量を）減らす, （〜を）切り詰める】&lt;/b&gt;&lt;/span&gt;
&lt;span class="ml"&gt;&lt;span class="explanation_tag"&gt;イメージ&lt;/span&gt;
［cut down / back (on A)］は、積み上がったものを切って（cut）下げる（down）イメージ。また前に出てくるものを切って（cut）奥に引っ込める（back）イメージ。
&lt;span class="spacer"&gt;&lt;/span&gt;on Aは、何に関してcut downするかを示す。
&lt;span class="spacer"&gt;&lt;/span&gt;Aに関して、積み上がっているものを切り下げる、前に出てくるものを切って引っ込めることから、「（Aの量を）減らす, （Aを）切り詰める」という意味になる。
&lt;div class="sample_image 2026_460"&gt;&lt;/div&gt;&lt;/span&gt;</t>
    <phoneticPr fontId="1"/>
  </si>
  <si>
    <t>&lt;span class="w"&gt;&lt;b&gt;【462.break down (~)：①〜を分解する, ～を分類する, ②故障する, 取り乱す, 肉体や精神が壊れる】&lt;/b&gt;&lt;/span&gt;
&lt;span class="ml"&gt;&lt;span class="explanation_tag"&gt;イメージ&lt;/span&gt;
［break down (A)］は、まとまっているものがバラバラに壊れて（break）崩れ落ちる（down）イメージ。
&lt;span class="spacer"&gt;&lt;/span&gt;①全体をバラバラにして細かくすることから、食べ物・化学物質・問題・情報など「Aを分解する, Aを分類する」という意味になる。
&lt;span class="spacer"&gt;&lt;/span&gt;②全体としてまとまって機能しているものが壊れて崩れるイメージから、機械や乗り物が「故障する」、感情が崩れて「取り乱す」、肉体や精神が「壊れる」といった意味になる。
&lt;div class="sample_image 2026_462"&gt;&lt;/div&gt;&lt;/span&gt;</t>
    <phoneticPr fontId="1"/>
  </si>
  <si>
    <t>&lt;span class="w"&gt;&lt;b&gt;【463.hand down ~：〜を（後世に）伝える】&lt;/b&gt;&lt;/span&gt;
&lt;span class="ml"&gt;&lt;span class="explanation_tag"&gt;イメージ&lt;/span&gt;
［hand down A］は、Aを下の世代に（down）手渡す（hand）イメージ。そこから「Aを（後世に）伝える」という意味になる。
&lt;div class="sample_image 2026_463"&gt;&lt;/div&gt;&lt;/span&gt;</t>
    <phoneticPr fontId="1"/>
  </si>
  <si>
    <t>&lt;span class="w"&gt;&lt;b&gt;【464.take down ~：①〜を書き留める, ②〜を取り壊す】&lt;/b&gt;&lt;/span&gt;
&lt;span class="ml"&gt;&lt;span class="explanation_tag"&gt;イメージ&lt;/span&gt;
［take down A］は、上にあるものをつかんで（take）下に移動させる（down）イメージ。
&lt;span class="spacer"&gt;&lt;/span&gt;①頭の中にある言葉を下におろして置いておくイメージから、「Aを書き留める」という意味になる。
&lt;span class="spacer"&gt;&lt;/span&gt;②高くそびえたっているものをつかんで下に倒すイメージから、「Aを取り壊す」という意味になる。
&lt;div class="sample_image 2026_464"&gt;&lt;/div&gt;&lt;/span&gt;</t>
    <phoneticPr fontId="1"/>
  </si>
  <si>
    <t>&lt;span class="w"&gt;&lt;b&gt;【465.burn down ~：〜を全焼させる, （建物が）全焼する】&lt;/b&gt;&lt;/span&gt;
&lt;span class="ml"&gt;&lt;span class="explanation_tag"&gt;イメージ&lt;/span&gt;
［burn down A］は、何かが焼けて（burn）下に崩れる（down）イメージ。そこから「Aを全焼させる, （建物が）全焼する」という意味になる。
&lt;div class="sample_image 2026_465"&gt;&lt;/div&gt;&lt;/span&gt;</t>
    <phoneticPr fontId="1"/>
  </si>
  <si>
    <t>&lt;span class="w"&gt;&lt;b&gt;【467.run out：使い果たす, 尽きる】&lt;/b&gt;&lt;/span&gt;
&lt;span class="ml"&gt;&lt;span class="explanation_tag"&gt;語源&lt;/span&gt;
runは、16世紀後期に「ある状態になる」という第2文型（SVC）の動詞として使われるようになった。同じ時期にgoも同様の意味で使われている。また、comeにもcome trueのような「ある状態になる」という意味がある。
移動系の動詞の後に状態を続けることで、その状態のもとへ移動して「〜の状態になる」という意味になっている。
&lt;span class="spacer"&gt;&lt;/span&gt;1712年までにはrun low（ほとんど尽きかける）、1713年からrun out of（〜が尽きる）という表現が確認されている。
&lt;span class="spacer"&gt;&lt;/span&gt;&lt;span class="explanation_tag"&gt;イメージ&lt;/span&gt;
［run out］は、空っぽ（out）の状態になる（run）というイメージから、「使い果たす, 尽きる」という意味になる。
&lt;span class="spacer"&gt;&lt;/span&gt;何を使い果たすのかを示す場合は、［run out of A］という形にする。
&lt;div class="sample_image 2026_467"&gt;&lt;/div&gt;&lt;/span&gt;</t>
    <phoneticPr fontId="1"/>
  </si>
  <si>
    <t>&lt;span class="w"&gt;&lt;b&gt;【468.speak out / up：はっきり話す, 思い切って話す】&lt;/b&gt;&lt;/span&gt;
&lt;span class="ml"&gt;&lt;span class="explanation_tag"&gt;語源&lt;/span&gt;
［speak out］は、14世紀後期から「はっきり大きな声で話す」という意味で見られ、1690年代までには「自由かつ大胆に発言する」という意味になっていった。
&lt;span class="spacer"&gt;&lt;/span&gt;［speak up］は、1705年までに「誰かのために代弁する」という意味で見られ、1723年までには「大きな声で話す」という意味になった。
&lt;span class="spacer"&gt;&lt;/span&gt;&lt;span class="explanation_tag"&gt;イメージ&lt;/span&gt;
［speak out］は、自分の中にあることを言葉にして（speak）外に出す（out）イメージから、「はっきり話す, 思い切って話す」という意味になる。
&lt;span class="spacer"&gt;&lt;/span&gt;［speak up］は、音量や存在感を上げて（up）話す（speak）イメージから、大きい声で「はっきり話す」や、意見が求められる場でためらわず「思い切って話す」という意味になる。
&lt;div class="sample_image 2026_468"&gt;&lt;/div&gt;&lt;/span&gt;</t>
    <phoneticPr fontId="1"/>
  </si>
  <si>
    <t>&lt;span class="w"&gt;&lt;b&gt;【471.wear out (~)：〜をすり減らす, すり減る, 〜を疲れ果てさせる】&lt;/b&gt;&lt;/span&gt;
&lt;span class="ml"&gt;&lt;span class="explanation_tag"&gt;語源&lt;/span&gt;
wearは、古英語werianにさかのぼり、何かを着る・身につけることを意味した。衣服は繰り返し着ていると、擦れたり破れたりして消耗していく。そこから13世紀後期に「すり減らす」という意味へと発展し、14世紀後期までに、wear outで「使い果たしてボロボロにする」という意味で使われるようになった。
&lt;span class="spacer"&gt;&lt;/span&gt;&lt;span class="explanation_tag"&gt;イメージ&lt;/span&gt;
［wear out (A)］は、衣服を使い込んでボロボロにするように、「Aをすり減らす」、何かが「すり減る」という意味になる。
&lt;span class="spacer"&gt;&lt;/span&gt;また、物理的なすり減りが精神的なすり減りへと発展して、「Aを疲れ果てさせる」という意味にもなる。
&lt;span class="spacer"&gt;&lt;/span&gt;&lt;span class="explanation_tag"&gt;補足&lt;/span&gt;
wear ~ outの語順にもなる。
&lt;div class="sample_image 2026_471"&gt;&lt;/div&gt;&lt;/span&gt;</t>
    <phoneticPr fontId="1"/>
  </si>
  <si>
    <t>&lt;span class="w"&gt;&lt;b&gt;【472.roll out (~)：転がり出る, 〜を転がして出す, 新製品を製造（発表）する】&lt;/b&gt;&lt;/span&gt;
&lt;span class="ml"&gt;&lt;span class="explanation_tag"&gt;イメージ&lt;/span&gt;
［roll out (A)］は、巻かれているものを外側へ展開するイメージから、「転がり出る, 転がり出す」という意味になる。
&lt;span class="spacer"&gt;&lt;/span&gt;また、まだ表に出ていない新しいものを外の世界へ向けて転がり出すことから、「新製品を製造する, 発表する」という意味にもなる。
&lt;span class="spacer"&gt;&lt;/span&gt;&lt;span class="explanation_tag"&gt;補足&lt;/span&gt;
roll ~ outの語順にもなる。
&lt;div class="sample_image 2026_472"&gt;&lt;/div&gt;&lt;/span&gt;</t>
    <phoneticPr fontId="1"/>
  </si>
  <si>
    <t>&lt;span class="w"&gt;&lt;b&gt;【473.iron out ~：（問題など）を解決する, 調整する】&lt;/b&gt;&lt;/span&gt;
&lt;span class="ml"&gt;&lt;span class="explanation_tag"&gt;イメージ&lt;/span&gt;
［iron out A］は、アイロンをかけてしわを伸ばし、綺麗な状態へ整えるイメージで覚えればよい。そこから、問題・不一致・物事の詳細などに関して「Aを調整する, Aを解決する」という意味になる。
&lt;span class="spacer"&gt;&lt;/span&gt;&lt;span class="explanation_tag"&gt;補足&lt;/span&gt;
iron ~ outの語順にもなる。
&lt;div class="sample_image 2026_473"&gt;&lt;/div&gt;&lt;/span&gt;</t>
    <phoneticPr fontId="1"/>
  </si>
  <si>
    <t>&lt;span class="w"&gt;&lt;b&gt;【474.set off (~)：①出発する, ②〜を引き起こす】&lt;/b&gt;&lt;/span&gt;
&lt;span class="ml"&gt;&lt;span class="explanation_tag"&gt;イメージ&lt;/span&gt;
［set off (A)］は、セットされて止まっていた状態（set）から切り離されて（off）何かが始まるイメージ。そこから「出発する」「Aを引き起こす」といった意味になる。
&lt;span class="spacer"&gt;&lt;/span&gt;&lt;span class="explanation_tag"&gt;補足&lt;/span&gt;
set ~ offの語順にもなる。
&lt;div class="sample_image 2026_474"&gt;&lt;/div&gt;&lt;/span&gt;</t>
    <phoneticPr fontId="1"/>
  </si>
  <si>
    <t>&lt;span class="w"&gt;&lt;b&gt;【475.show off (~)：（〜を）見せびらかす】&lt;/b&gt;&lt;/span&gt;
&lt;span class="ml"&gt;&lt;span class="explanation_tag"&gt;イメージ&lt;/span&gt;
［show off (A)］は、他のものと一緒になっている状態から切り離して（off）それを際立たせて見せる（show）イメージから、「（Aを）見せびらかす」という意味になる。
&lt;span class="spacer"&gt;&lt;/span&gt;&lt;span class="explanation_tag"&gt;補足&lt;/span&gt;
show ~ offの語順にもなる。
&lt;div class="sample_image 2026_475"&gt;&lt;/div&gt;&lt;/span&gt;</t>
    <phoneticPr fontId="1"/>
  </si>
  <si>
    <t>&lt;span class="w"&gt;&lt;b&gt;【476.keep off ~：〜を近づけない, 〜に近づかない, 〜を慎む】&lt;/b&gt;&lt;/span&gt;
&lt;span class="ml"&gt;&lt;span class="explanation_tag"&gt;イメージ&lt;/span&gt;
［keep off A］は、Aを引き離した状態（off）を維持する（keep）イメージから、「Aに近づかない, Aを近づけない, Aを慎む」といった意味になる。このイメージをもとに、文脈に応じて日本語訳を考えればよい。
&lt;span class="spacer"&gt;&lt;/span&gt;&lt;span class="explanation_tag"&gt;補足&lt;/span&gt;
keep ~ offの語順にもなる。
&lt;div class="sample_image 2026_476"&gt;&lt;/div&gt;&lt;/span&gt;</t>
    <phoneticPr fontId="1"/>
  </si>
  <si>
    <t>&lt;span class="w"&gt;&lt;b&gt;【477.give off ~：（光・匂い・音など）を発する】&lt;/b&gt;&lt;/span&gt;
&lt;span class="ml"&gt;&lt;span class="explanation_tag"&gt;イメージ&lt;/span&gt;
［give off A］は、何かからAを切り離して（off）放つ（give）イメージから、光・匂い・音といった「Aを発する」という意味になる。
&lt;span class="spacer"&gt;&lt;/span&gt;&lt;span class="explanation_tag"&gt;補足&lt;/span&gt;
give ~ offの語順にもなる。
&lt;div class="sample_image 2026_477"&gt;&lt;/div&gt;&lt;/span&gt;</t>
    <phoneticPr fontId="1"/>
  </si>
  <si>
    <t>&lt;span class="w"&gt;&lt;b&gt;【478.break off (~)：（〜を）急にやめる, 〜を切り離す】&lt;/b&gt;&lt;/span&gt;
&lt;span class="ml"&gt;&lt;span class="explanation_tag"&gt;イメージ&lt;/span&gt;
［break off (A)］は、繋がっているものを壊して（break）引き離す（off）イメージから、物理的に「Aを切り離す」や、続いていた会話・行動・関係・交渉などを「急にやめる」という意味になる。
&lt;span class="spacer"&gt;&lt;/span&gt;&lt;span class="explanation_tag"&gt;補足&lt;/span&gt;
break ~ offの語順にもなる。
&lt;div class="sample_image 2026_478"&gt;&lt;/div&gt;&lt;/span&gt;</t>
    <phoneticPr fontId="1"/>
  </si>
  <si>
    <t>&lt;span class="w"&gt;&lt;b&gt;【479.take over (~)：①（〜を）引き継ぐ, ②〜を支配する】&lt;/b&gt;&lt;/span&gt;
&lt;span class="ml"&gt;&lt;span class="explanation_tag"&gt;イメージ&lt;/span&gt;
［take over (A)］のoverは、①「越えて」と②「全体を覆う」という意味。
&lt;span class="spacer"&gt;&lt;/span&gt;①向こう側のものを自分側に持ってきて（over）取る（take）イメージから、「（Aを）引き継ぐ」という意味になる。
&lt;span class="spacer"&gt;&lt;/span&gt;②ある対象Aの全体（over）をつかむ（take）イメージから、「Aを支配する」という意味になる。
&lt;span class="spacer"&gt;&lt;/span&gt;&lt;span class="explanation_tag"&gt;補足&lt;/span&gt;
take ~ overの語順にもなる。
&lt;div class="sample_image 2026_479"&gt;&lt;/div&gt;&lt;/span&gt;</t>
    <phoneticPr fontId="1"/>
  </si>
  <si>
    <t>&lt;span class="w"&gt;&lt;b&gt;【481.drop in：ふらっと立ち寄る】&lt;/b&gt;&lt;/span&gt;
&lt;span class="ml"&gt;&lt;span class="explanation_tag"&gt;イメージ&lt;/span&gt;
［drop in］は、ある空間の中に（in）自然と落ちていく（drop）イメージから、「ふらっと立ち寄る」という意味になる。
&lt;span class="spacer"&gt;&lt;/span&gt;立ち寄る対象は［drop in on 人］や［drop in at 場所］で示す。
&lt;div class="sample_image 2026_481"&gt;&lt;/div&gt;&lt;/span&gt;</t>
    <phoneticPr fontId="1"/>
  </si>
  <si>
    <t>&lt;span class="w"&gt;&lt;b&gt;【483.pass on ~：（物・情報など）〜を次に回す, 伝える】&lt;/b&gt;&lt;/span&gt;
&lt;span class="ml"&gt;&lt;span class="explanation_tag"&gt;イメージ&lt;/span&gt;
［pass on A］のonは、何かが次々に接触するような「継続・連続」を表す。Aを次に次に（on）渡していく（pass）イメージから、物や情報など「Aを次に回す, 伝える」という意味になる。
&lt;div class="sample_image 2026_483"&gt;&lt;/div&gt;&lt;/span&gt;</t>
    <phoneticPr fontId="1"/>
  </si>
  <si>
    <t>&lt;span class="w"&gt;&lt;b&gt;【484.give away ~：（秘密など）〜をばらす, 無料で〜をあげる, 〜を配る】&lt;/b&gt;&lt;/span&gt;
&lt;span class="ml"&gt;&lt;span class="explanation_tag"&gt;イメージ&lt;/span&gt;
［give away A］は、Aを自分の手元から遠くへ（away）手放す（give）イメージから、秘密など「Aをばらす」「無料でAをあげる」「Aを配る」といった意味になる。
&lt;div class="sample_image 2026_484"&gt;&lt;/div&gt;&lt;/span&gt;</t>
    <phoneticPr fontId="1"/>
  </si>
  <si>
    <t>&lt;span class="w"&gt;&lt;b&gt;【487.expose A to B：AをBにさらす】&lt;/b&gt;&lt;/span&gt;
&lt;span class="ml"&gt;&lt;span class="explanation_tag"&gt;語源&lt;/span&gt;
exposeは、ラテン語ex（外に）と、ponere（置く）が合わさってできた語。何かを外に置くことから、「さらす」という意味になる。
&lt;span class="spacer"&gt;&lt;/span&gt;そこから［expose A to B］は、「AをBにさらす」という意味になる。
&lt;div class="sample_image 2026_487"&gt;&lt;/div&gt;&lt;/span&gt;</t>
    <phoneticPr fontId="1"/>
  </si>
  <si>
    <t>&lt;span class="w"&gt;&lt;b&gt;【489.attach A to B：AをBに取り付ける】&lt;/b&gt;&lt;/span&gt;
&lt;span class="ml"&gt;&lt;span class="explanation_tag"&gt;語源&lt;/span&gt;
attachは、古フランス語a（〜へ）と、-tach（おそらく杭）が合わさってできた語。何かを杭で刺して動かなくすることから、「固定する, 取り付ける」という意味になった。
&lt;span class="spacer"&gt;&lt;/span&gt;そこから［attach A to B］は、「AをBに取り付ける, 固定する」という意味になる。
&lt;div class="sample_image 2026_489"&gt;&lt;/div&gt;&lt;/span&gt;</t>
    <phoneticPr fontId="1"/>
  </si>
  <si>
    <t>&lt;span class="w"&gt;&lt;b&gt;【490.attribute A to B：AをBの結果と考える, AをBに帰属させる】&lt;/b&gt;&lt;/span&gt;
&lt;span class="ml"&gt;&lt;span class="explanation_tag"&gt;語源&lt;/span&gt;
attributeは、ラテン語ad（〜へ）と、tribes（部族）から生まれたtibuere（割り当てる, 与える）が合わさってできた語。部族Aには①を、部族Bには②を、部族Cには③を…というように、「AをBに割り当てて与える」ことがattributeの核。
&lt;span class="spacer"&gt;&lt;/span&gt;そこから［attribute A to B］は、AをBに割り当てる＝「AをBの結果と考える, AをBに帰属させる」という意味になる。
&lt;span class="spacer"&gt;&lt;/span&gt;&lt;span class="explanation_tag"&gt;例&lt;/span&gt;
He attributed &lt;strong&gt;his success&lt;/strong&gt; to &lt;strong&gt;hard work&lt;/strong&gt;.
彼は&lt;strong&gt;成功&lt;/strong&gt;を&lt;strong&gt;努力&lt;strong&gt;の結果だと考えた。
&lt;span class="spacer"&gt;&lt;/span&gt;これは、successをhis workに割り当てることを表す。つまり「成功」を「彼の努力」のものとして考え、「彼の努力によって成功が生まれた」という意味になる。
&lt;div class="sample_image 2026_490"&gt;&lt;/div&gt;&lt;/span&gt;</t>
    <phoneticPr fontId="1"/>
  </si>
  <si>
    <t>&lt;span class="w"&gt;&lt;b&gt;【492.confine A to B：AをBに限定する, AをBに閉じ込める】&lt;/b&gt;&lt;/span&gt;
&lt;span class="ml"&gt;&lt;span class="explanation_tag"&gt;語源&lt;/span&gt;
confineは、ラテン語com（共に）と、finis（終わり, 境界）が合わさってできた語。
もともとは【X ｜ Y】のように、領土や土地の境界を共有していることを表したが、そこから境界の中から出ないように「閉じ込める」という意味になった。
&lt;span class="spacer"&gt;&lt;/span&gt;［confine A to B］は、境界線を引いて「AをBの中に閉じ込める」「AをBに限定する」という意味になる。
&lt;div class="sample_image 2026_492"&gt;&lt;/div&gt;&lt;/span&gt;</t>
    <phoneticPr fontId="1"/>
  </si>
  <si>
    <t>&lt;span class="w"&gt;&lt;b&gt;【496.forbid A from doing：Aに〜するのを禁止する】&lt;/b&gt;&lt;/span&gt;
&lt;span class="ml"&gt;&lt;span class="explanation_tag"&gt;語源&lt;/span&gt;
forbidは古英語にさかのぼり、for（反対に）とbeodan（命令する）が合わさってできた語。何かをしないように命令することから、「禁止する」という意味になる。
&lt;span class="spacer"&gt;&lt;/span&gt;［forbid A from doing］は、Aに禁止を言い渡してdoingから遠ざける＝「Aに〜するのを禁止する」という意味になる。
&lt;div class="sample_image 2026_496"&gt;&lt;/div&gt;&lt;/span&gt;</t>
    <phoneticPr fontId="1"/>
  </si>
  <si>
    <t>&lt;span class="w"&gt;&lt;b&gt;【497.prohibit A from doing：Aに〜するのを禁止する】&lt;/b&gt;&lt;/span&gt;
&lt;span class="ml"&gt;&lt;span class="explanation_tag"&gt;語源&lt;/span&gt;
prohibitは、ラテン語pro（前に）と、habere（持つ）が合わさってできた語。何かから遠ざけるために対象を前方に持っていくことから、何かを「禁止する」という意味になる。
&lt;span class="spacer"&gt;&lt;/span&gt;［prohibit A from doing］は、doingから距離を取って、離れた方へAを持っていくイメージから、Aに禁止を言い渡してdoingから遠ざける＝「Aに〜するのを禁止する」という意味になる。
&lt;div class="sample_image 2026_497"&gt;&lt;/div&gt;&lt;/span&gt;</t>
    <phoneticPr fontId="1"/>
  </si>
  <si>
    <t>&lt;span class="w"&gt;&lt;b&gt;【507.accuse A of B：AをBのことで非難する, 告訴する】&lt;/b&gt;&lt;/span&gt;
&lt;span class="ml"&gt;&lt;span class="explanation_tag"&gt;語源&lt;/span&gt;
accuseは、ラテン語ad（〜へ）と、causa（原因, 訴訟）が合わさってできた語。誰かに対して原因や訴訟を向けることから、相手を「非難する, 告訴する」という意味になった。
&lt;span class="spacer"&gt;&lt;/span&gt;ラテン語causaは、英語cause（原因）の語源でもある。
&lt;span class="spacer"&gt;&lt;/span&gt;&lt;span class="explanation_tag"&gt;イメージ&lt;/span&gt;
［accuse A of B］は語源から考えると、Bのことで（of B）Aに対して（ac）原因（cuse）を向けるというイメージ。そこから「BのことでAを非難する. 告訴する」という意味になる。
&lt;span class="spacer"&gt;&lt;/span&gt;&lt;span class="explanation_tag"&gt;関連語&lt;/span&gt;
excuse（許す, 言い訳をする）は、ラテン語ex（外に）と、causa（原因, 訴訟）が合わさってできた語。対象を原因や訴訟から外すイメージ。そこから、相手に原因を向けない＝「許す」や、原因を自分に向けない＝「言い訳をする」といった意味になった。
&lt;div class="sample_image 2026_507"&gt;&lt;/div&gt;&lt;/span&gt;</t>
    <phoneticPr fontId="1"/>
  </si>
  <si>
    <t>&lt;span class="w"&gt;&lt;b&gt;【508.suspect A of B：BについてAを疑う】&lt;/b&gt;&lt;/span&gt;
&lt;span class="ml"&gt;&lt;span class="explanation_tag"&gt;語源&lt;/span&gt;
suspectは、ラテン語sub（下から）と、specere（見る）が合わさってできた語。下からこっそり見上げて疑いの目を向けるイメージから「疑う」という意味になる。
&lt;span class="spacer"&gt;&lt;/span&gt;そこから［suspect A of B］は、「BについてAを疑う」という意味になる。
&lt;div class="sample_image 2026_508"&gt;&lt;/div&gt;&lt;/span&gt;</t>
    <phoneticPr fontId="1"/>
  </si>
  <si>
    <t>&lt;span class="w"&gt;&lt;b&gt;【509.assure A of B：A（人）にBを保証する】&lt;/b&gt;&lt;/span&gt;
&lt;span class="ml"&gt;&lt;span class="explanation_tag"&gt;語源&lt;/span&gt;
assureは、ラテン語ad（〜へ）と、se（離れて）cura（注意）が合わさってできた語。対象を注意から離れた状態にする、相手を心配がない状態にすることから、何かを「保証する, 自信を持って言う」という意味になる。
&lt;span class="spacer"&gt;&lt;/span&gt;&lt;span class="explanation_tag"&gt;イメージ&lt;/span&gt;
［assure A of B］は、Bについて、A（人）を心配から離れた状態にすることから、「AにBを保証する」という意味になる。
&lt;span class="spacer"&gt;&lt;/span&gt;&lt;span class="explanation_tag"&gt;関連語&lt;/span&gt;
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&lt;div class="sample_image 2026_509"&gt;&lt;/div&gt;&lt;/span&gt;</t>
    <phoneticPr fontId="1"/>
  </si>
  <si>
    <t>&lt;span class="w"&gt;&lt;b&gt;【511.talk A into B：Aを説得してBをさせる】&lt;/b&gt;&lt;/span&gt;
&lt;span class="ml"&gt;&lt;span class="explanation_tag"&gt;イメージ&lt;/span&gt;
［talk A into B］は、話すことで（talk）AをBの中に入れ込む（A into B）イメージ。そこから「Aを説得してBさせる」という意味になる。
&lt;span class="spacer"&gt;&lt;/span&gt;Aには〈人〉が、Bには〈名詞・動名詞〉が来る。
&lt;span class="spacer"&gt;&lt;/span&gt;&lt;span class="explanation_tag"&gt;補足&lt;/span&gt;
intoの反対のout ofにして「talk A out of B」は、「Aを説得してBをやめさせる」という意味になる。
&lt;div class="sample_image 2026_511"&gt;&lt;/div&gt;&lt;/span&gt;</t>
    <phoneticPr fontId="1"/>
  </si>
  <si>
    <t>&lt;span class="w"&gt;&lt;b&gt;【513.diagnose A as / with B：AをBと診断する】&lt;/b&gt;&lt;/span&gt;
&lt;span class="ml"&gt;&lt;span class="explanation_tag"&gt;語源&lt;/span&gt;
diagnoseは、ギリシャ語dia（間に）と、gignōskein（学ぶ, 知るようになる）が合わさってできた語。様々な物事の間にある差異を知り、それぞれを区別する・識別することから、医学において、症状を見分けて病名を特定する＝「診断する」という意味になった。
&lt;span class="spacer"&gt;&lt;/span&gt;&lt;span class="explanation_tag"&gt;イメージ&lt;/span&gt;
［diagnose A as B］は、A：&lt;strong&gt;症状・人&lt;/strong&gt;を、B：&lt;strong&gt;病名&lt;/strong&gt;だと「診断する」という意味になる。
&lt;span class="spacer"&gt;&lt;/span&gt;［diagnose A with B］は、A：&lt;strong&gt;人&lt;/strong&gt;を、B：&lt;strong&gt;病名&lt;/strong&gt;だと「診断する」という意味になる。
&lt;div class="sample_image 2026_513"&gt;&lt;/div&gt;&lt;/span&gt;</t>
    <phoneticPr fontId="1"/>
  </si>
  <si>
    <t>&lt;span class="w"&gt;&lt;b&gt;【514.strike A as B：AにBの印象を与える】&lt;/b&gt;&lt;/span&gt;
&lt;span class="ml"&gt;&lt;span class="explanation_tag"&gt;語源&lt;/span&gt;
asは、古英語eal（all）と、swa（so）が縮まってできた語。直訳すると「全くその通り」となる。asの核は「同じ, イコール」というイメージ。
&lt;span class="spacer"&gt;&lt;/span&gt;&lt;span class="explanation_tag"&gt;イメージ&lt;/span&gt;
strikeは、物理的に打つことから比喩的に、心に印象を打ち込むことを表す。
&lt;span class="spacer"&gt;&lt;/span&gt;［S strike A as B］は、SがAに対して、S＝B（S as B）という印象を打ち込むイメージ。そこから、「AにBという印象を与える」という意味になる。
&lt;div class="sample_image 2026_514"&gt;&lt;/div&gt;&lt;/span&gt;</t>
    <phoneticPr fontId="1"/>
  </si>
  <si>
    <t>&lt;span class="w"&gt;&lt;b&gt;【521.take one's place：①いつもの席につく, ②〜に取って代わる】&lt;/b&gt;&lt;/span&gt;
&lt;span class="ml"&gt;&lt;span class="explanation_tag"&gt;イメージ&lt;/span&gt;
［S take one's place］は、Sとoneの関係で考える。
&lt;span class="spacer"&gt;&lt;/span&gt;【S＝oneの場合】
直訳すると「Sは自分自身の場所を取る」となるので、「いつもの席につく」という意味になる。
&lt;span class="spacer"&gt;&lt;/span&gt;【S≠oneの場合】
直訳すると「Sは誰か・何かの場所を取る」となるので、「〜に取って代わる」という意味になる。
&lt;div class="sample_image 2026_521"&gt;&lt;/div&gt;&lt;/span&gt;</t>
    <phoneticPr fontId="1"/>
  </si>
  <si>
    <t>&lt;span class="w"&gt;&lt;b&gt;【551.be subject to ~：〜を受けやすい, 〜に服従している】&lt;/b&gt;&lt;/span&gt;
&lt;span class="ml"&gt;&lt;span class="explanation_tag"&gt;語源&lt;/span&gt;
subjectは、ラテン語sub（下に）と、icere（投げる）が合わさってできた語。上から下に投げられるというイメージから、「上下関係の下に置かれている」ことを表す。
&lt;span class="spacer"&gt;&lt;/span&gt;&lt;span class="explanation_tag"&gt;イメージ&lt;/span&gt;
［be subject to A］は、Aに対して下に置かれているというイメージから、「Aを受けやすい」「Aに服従している」など、文脈に応じて様々な意味になる。
&lt;span class="spacer"&gt;&lt;/span&gt;この表現は、Aの支配下にある、Aの影響下にあるというイメージで覚えればよい。
&lt;div class="sample_image 2026_551"&gt;&lt;/div&gt;&lt;/span&gt;</t>
    <phoneticPr fontId="1"/>
  </si>
  <si>
    <t>&lt;span class="w"&gt;&lt;b&gt;【559.be peculiar to ~：〜に特有である】&lt;/b&gt;&lt;/span&gt;
&lt;span class="ml"&gt;&lt;span class="explanation_tag"&gt;語源&lt;/span&gt;
peculiarは、ラテン語pecu（家畜）と、ulium（小さいことを表す）が合わさってできた語peculium（家畜の小さな群れ）に由来する。
&lt;span class="spacer"&gt;&lt;/span&gt;古代ローマの時代、移動して連れて行ける家畜は最も重要な財産であった。「家畜の小さな群れ」は、家長から自分の子供や奴隷に与えられた一部の家畜を表し、その人だけの財産を意味した。
&lt;span class="spacer"&gt;&lt;/span&gt;その後、財産に限定されず、特定の人や場所のみに属している状態を表すようになって、「特有の」という意味になった。
&lt;span class="spacer"&gt;&lt;/span&gt;&lt;span class="explanation_tag"&gt;イメージ&lt;/span&gt;
［be peculiar to A］は、Aにのみ属していることを表して、「Aに特有である」という意味になる。
&lt;div class="sample_image 2026_559"&gt;&lt;/div&gt;&lt;/span&gt;</t>
    <phoneticPr fontId="1"/>
  </si>
  <si>
    <t>&lt;span class="w"&gt;&lt;b&gt;【560.be prone to ~：〜になりやすい】&lt;/b&gt;&lt;/span&gt;
&lt;span class="ml"&gt;&lt;span class="explanation_tag"&gt;語源&lt;/span&gt;
proneは、ラテン語pro（前へ）が形容詞になった語。前かがみになっている、前のめりになっていることから、「〜になりやすい」「〜しがちである」といった傾向を意味するようになった。
&lt;span class="spacer"&gt;&lt;/span&gt;&lt;span class="explanation_tag"&gt;イメージ&lt;/span&gt;
［be prone to A］は語源から考えると、Aの方に（to A）前のめりになっている（be prone）イメージから、「Aになりやすい」という意味になる。
&lt;span class="spacer"&gt;&lt;/span&gt;［be prone to do］なら「〜しがちである」という意味になる。
&lt;div class="sample_image 2026_560"&gt;&lt;/div&gt;&lt;/span&gt;</t>
    <phoneticPr fontId="1"/>
  </si>
  <si>
    <t>&lt;span class="w"&gt;&lt;b&gt;【562.be involved in ~：①〜に携わっている, ②〜に熱中している】&lt;/b&gt;&lt;/span&gt;
&lt;span class="ml"&gt;&lt;span class="explanation_tag"&gt;語源&lt;/span&gt;
involveは、ラテン語in（中に）と、volvere（巻く, 回す, 転がす）が合わさってできた語。ある事柄の中に巻き込んでいくイメージから「関与させる」という意味になる。
&lt;span class="spacer"&gt;&lt;/span&gt;&lt;span class="explanation_tag"&gt;イメージ&lt;/span&gt;
［S be involved in A］は語源から考えると、SがAの中に巻き込まれているイメージになる。そこから「SはAに携わっている」という意味になる。
&lt;span class="spacer"&gt;&lt;/span&gt;またSがAの中に深く入り込んでくイメージから、「SはAに熱中している」という意味にもなる。
&lt;div class="sample_image 2026_562"&gt;&lt;/div&gt;&lt;/span&gt;</t>
    <phoneticPr fontId="1"/>
  </si>
  <si>
    <t>&lt;span class="w"&gt;&lt;b&gt;【563.be absorbed in ~：〜に熱中している】&lt;/b&gt;&lt;/span&gt;
&lt;span class="ml"&gt;&lt;span class="explanation_tag"&gt;語源&lt;/span&gt;
absorbは、ラテン語ab（離れて）と、sorbere（吸い込む）が合わさってできた語。対象を吸い込んで自分の一部にすることから「吸収する」という意味になる。また比喩的に、何かが人の注意を吸い込むことから、人を「夢中にさせる」という意味にもなる。
&lt;span class="spacer"&gt;&lt;/span&gt;&lt;span class="explanation_tag"&gt;イメージ&lt;/span&gt;
［S be absorbed in A］は、SがAの中に吸い込まれていくイメージから、「SはAに熱中している」という意味になる。
&lt;div class="sample_image 2026_563"&gt;&lt;/div&gt;&lt;/span&gt;</t>
    <phoneticPr fontId="1"/>
  </si>
  <si>
    <t>&lt;span class="w"&gt;&lt;b&gt;【565.be versed in ~：〜に詳しい, 〜に精通している】&lt;/b&gt;&lt;/span&gt;
&lt;span class="ml"&gt;&lt;span class="explanation_tag"&gt;語源&lt;/span&gt;
versedは、ラテン語vertere（回す, 向ける）の反復形versare（繰り返し回す）に由来する。ある物事を何度も繰り返すことから「詳しい, 精通している」という意味になる。
&lt;span class="spacer"&gt;&lt;/span&gt;&lt;span class="explanation_tag"&gt;イメージ&lt;/span&gt;
［be versed in A］は、Aという範囲において何度も繰り返しているので、「Aに詳しい, Aに精通している」という意味になる。
&lt;span class="spacer"&gt;&lt;/span&gt;&lt;span class="explanation_tag"&gt;関連語&lt;/span&gt;
ラテン語vertere（回す）からは、以下の語も生まれている。
&lt;span class="spacer"&gt;&lt;/span&gt;universe：uni（一つ）vertere（回す）：全てが一つにまとまったもの, 宇宙
&lt;span class="spacer"&gt;&lt;/span&gt;anniversary：anni（1年）vertere（回す）：1年が回ってきた日, 年一の記念日, 周年
&lt;div class="sample_image 2026_565"&gt;&lt;/div&gt;&lt;/span&gt;</t>
    <phoneticPr fontId="1"/>
  </si>
  <si>
    <t>&lt;span class="w"&gt;&lt;b&gt;【566.be abundant in ~：〜に富んでいる, 〜が豊富である】&lt;/b&gt;&lt;/span&gt;
&lt;span class="ml"&gt;&lt;span class="explanation_tag"&gt;語源&lt;/span&gt;
abundantは、ラテン語ab（〜から）と、undare（波打つ）が合わさってできた語。波が打ち寄せて水があふれるように、物や富、機会などがあふれるほどあり余ることを表して「豊富な」という意味になる。
&lt;span class="spacer"&gt;&lt;/span&gt;&lt;span class="explanation_tag"&gt;イメージ&lt;/span&gt;
［be abundant in A］は、Aにおいてあふれ返るくらいたくさんあることを表して、「Aに富んでいる, Aが豊富である」という意味になる。
&lt;div class="sample_image 2026_566"&gt;&lt;/div&gt;&lt;/span&gt;</t>
    <phoneticPr fontId="1"/>
  </si>
  <si>
    <t>&lt;span class="w"&gt;&lt;b&gt;【569.be equipped with ~：〜を備えている】&lt;/b&gt;&lt;/span&gt;
&lt;span class="ml"&gt;&lt;span class="explanation_tag"&gt;語源&lt;/span&gt;
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知識・スキルなどを「備えつける」という意味になった。
&lt;span class="spacer"&gt;&lt;/span&gt;equipは、［equip A with B］という形で「AにBを備えつける」という意味になる。
&lt;span class="spacer"&gt;&lt;/span&gt;&lt;span class="explanation_tag"&gt;イメージ&lt;/span&gt;
「A be equipped with B」は、［equip A with B：AにBを備えつける］が、Aを主語とする受動態になったもの。そこから、「AはBを備えている」という意味になる。
&lt;div class="sample_image 2026_569"&gt;&lt;/div&gt;&lt;/span&gt;</t>
    <phoneticPr fontId="1"/>
  </si>
  <si>
    <t>&lt;span class="w"&gt;&lt;b&gt;【577.be considerate of / to ~：〜に思いやりのある】&lt;/b&gt;&lt;/span&gt;
&lt;span class="ml"&gt;&lt;span class="explanation_tag"&gt;イメージ&lt;/span&gt;
considerateは、consider（よく考える）の形容詞と考えればよい。何かに対してじっくりとよく考えることから、周囲の事情・他人や動物・他人の気持ちなどをよく考え、配慮する様子を表す。
&lt;span class="spacer"&gt;&lt;/span&gt;［be considerate of / to A］は、「Aに関して（of A）・Aに対して（to A）思いやりのある」という意味になる。
&lt;div class="sample_image 2026_577"&gt;&lt;/div&gt;&lt;/span&gt;</t>
    <phoneticPr fontId="1"/>
  </si>
  <si>
    <t>&lt;span class="w"&gt;&lt;b&gt;【579.be convinced of ~：〜を確信している】&lt;/b&gt;&lt;/span&gt;
&lt;span class="ml"&gt;&lt;span class="explanation_tag"&gt;convinceの語源&lt;/span&gt;
convinceは、ラテン語com（強意）と、vincere（征服する）が合わさってできた語。
&lt;span class="spacer"&gt;&lt;/span&gt;論争において相手を完全に打ち負かすことから、相手に自分の主張を「納得させる, 確信させる」という意味になる。
&lt;span class="spacer"&gt;&lt;/span&gt;convinceは、［convince A of B］という形で「AにBを納得させる, 確信させる」という意味になる。
&lt;span class="spacer"&gt;&lt;/span&gt;&lt;span class="explanation_tag"&gt;イメージ&lt;/span&gt;
［A be convinced of B］は、［convince A of B］が、Aを主語とする受動態になったもの。そこから、「AはBを確信している」という意味になる。
&lt;span class="spacer"&gt;&lt;/span&gt;&lt;span class="explanation_tag"&gt;関連語&lt;/span&gt;
ラテン語vincere（征服する）からは、以下の語も生まれている。
&lt;span class="spacer"&gt;&lt;/span&gt;victory（勝利）
&lt;div class="sample_image 2026_579"&gt;&lt;/div&gt;&lt;/span&gt;</t>
    <phoneticPr fontId="1"/>
  </si>
  <si>
    <t>&lt;span class="w"&gt;&lt;b&gt;【584.be particular about / over ~：〜について口うるさい, 〜にこだわる】&lt;/b&gt;&lt;/span&gt;
&lt;span class="ml"&gt;&lt;span class="explanation_tag"&gt;語源&lt;/span&gt;
particularは、ラテン語pars（部分）と、cula（小さいことを表す）が合わさってできた形容詞。
&lt;span class="spacer"&gt;&lt;/span&gt;全体ではなく、特定の小さな部分を表すことから、「特定の」という意味になる。また全体ではなく、細かい部分に目がいくということから「こだわる, 口うるさい」という意味になる。
&lt;span class="spacer"&gt;&lt;/span&gt;［be particular about / over A］は、Aに関して細かい部分に目がいくことを表して、「Aについて口うるさい」や「Aにこだわる」という意味になる。
&lt;div class="sample_image 2026_584"&gt;&lt;/div&gt;&lt;/span&gt;</t>
    <phoneticPr fontId="1"/>
  </si>
  <si>
    <t>&lt;span class="w"&gt;&lt;b&gt;【588.do ~ good：～のためになる, ～に役立つ】&lt;/b&gt;&lt;/span&gt;
&lt;span class="ml"&gt;&lt;span class="explanation_tag"&gt;語源&lt;/span&gt;
doは、古英語donにさかのぼり、現代英語で言えばmake, act, perform, causeなど、様々な意味で使われていた。［do A good］のdoは、cause（引き起こす）に近い意味を持っている。
&lt;span class="spacer"&gt;&lt;/span&gt;&lt;span class="explanation_tag"&gt;イメージ&lt;/span&gt;
［do A good］のdoは「引き起こす」、goodは名詞で「良いこと, 利益」を意味する。Aに良いことを引き起こすことから、「Aのためになる, Aに役立つ」という意味になる。
&lt;div class="sample_image 2026_588"&gt;&lt;/div&gt;&lt;/span&gt;</t>
    <phoneticPr fontId="1"/>
  </si>
  <si>
    <t>&lt;span class="w"&gt;&lt;b&gt;【596.sign up for ~：（受講など）の届け出をする, ～に加わる】&lt;/b&gt;&lt;/span&gt;
&lt;span class="ml"&gt;&lt;span class="explanation_tag"&gt;イメージ&lt;/span&gt;
［sign up for A］は、Aのための（for A）登録者名簿に署名して（sign）載せる（up）イメージ。そこから「（受講など）の届け出をする, ～に加わる」といった意味になる。
&lt;span class="spacer"&gt;&lt;/span&gt;&lt;span class="explanation_tag"&gt;補足&lt;/span&gt;
サイトやアプリなどで自分のアカウントに入ることを「サインイン」という。これは、IDやパスワードなどを書き込む＝署名して中に入るイメージ。
&lt;span class="spacer"&gt;&lt;/span&gt;「サインアップ」は登録して加わるときに使われるワード。
&lt;div class="sample_image 2026_596"&gt;&lt;/div&gt;&lt;/span&gt;</t>
    <phoneticPr fontId="1"/>
  </si>
  <si>
    <t>&lt;span class="w"&gt;&lt;b&gt;【598.in terms of ~：～の観点から, ～に換算して】&lt;/b&gt;&lt;/span&gt;
&lt;span class="ml"&gt;&lt;span class="explanation_tag"&gt;語源&lt;/span&gt;
termは、ラテン語terminus（終わり,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［in terms of A］は、語源で見たtermの核（範囲の限定）から考えると、話題や考え方をAという範囲に限定するイメージになる。そこから「Aの観点から, Aに換算して」といった意味になる。
&lt;div class="sample_image 2026_598"&gt;&lt;/div&gt;&lt;/span&gt;</t>
    <phoneticPr fontId="1"/>
  </si>
  <si>
    <t>&lt;span class="w"&gt;&lt;b&gt;【605.in charge of ~：〜を管理して, 〜を担当して】&lt;/b&gt;&lt;/span&gt;
&lt;span class="ml"&gt;&lt;span class="explanation_tag"&gt;語源&lt;/span&gt;
chargeは、ラテン語carrus（二輪の荷車）に由来する。&lt;span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&lt;span class="spacer"&gt;&lt;/span&gt;②精神的負担：「責任」
&lt;span class="spacer"&gt;&lt;/span&gt;③金銭的な負担：支払うべき「料金」
&lt;span class="spacer"&gt;&lt;/span&gt;④法的な負担：罪状を課す＝「告発」
&lt;span class="spacer"&gt;&lt;/span&gt;&lt;span class="explanation_tag"&gt;イメージ&lt;/span&gt;
［in charge of A］は、Aを預かって管理する状態にいることを表して、「Aを管理して, Aを担当して」といった意味になる。
&lt;div class="sample_image 2026_605"&gt;&lt;/div&gt;&lt;/span&gt;</t>
    <phoneticPr fontId="1"/>
  </si>
  <si>
    <t>&lt;span class="w"&gt;&lt;b&gt;【616.at the expense of ~：〜を犠牲にして】&lt;/b&gt;&lt;/span&gt;
&lt;span class="ml"&gt;&lt;span class="explanation_tag"&gt;語源&lt;/span&gt;
expenseは、ラテン語ex（外に）と、pendere（吊るす）が合さってできた語。当時はお金を天秤に吊るし、重さを量ることで支払いが行われたことから、外に吊るすものは支払われるものを表す。そこから「費用,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class="spacer"&gt;&lt;/span&gt;&lt;span class="explanation_tag"&gt;イメージ&lt;/span&gt;
［at the expense of A］は、Aという価値あるもの・望ましいものを外に差し出すことを表して、「Aを犠牲にして」という意味になる。
&lt;div class="sample_image 2026_616"&gt;&lt;/div&gt;&lt;/span&gt;</t>
    <phoneticPr fontId="1"/>
  </si>
  <si>
    <t>&lt;span class="w"&gt;&lt;b&gt;【618.at the mercy of ~：〜のなすがままになって】&lt;/b&gt;&lt;/span&gt;
&lt;span class="ml"&gt;&lt;span class="explanation_tag"&gt;語源&lt;/span&gt;
mercyは、ラテン語&lt;span class="arrow"&gt;→&lt;/span&gt;古フランス語&lt;span class="arrow"&gt;→&lt;/span&gt;中英語という流れで伝わり、12世紀後期に「慈悲（情け・神が罪を赦すこと）」という意味で使われた。
&lt;span class="spacer"&gt;&lt;/span&gt;&lt;span class="explanation_tag"&gt;イメージ&lt;/span&gt;
［at the mercy of A］は、罪が赦されるかどうかが神の慈悲次第であるように、今後どうなるかがAに支配されていることを表して、「Aのなすがままになって」という意味になる。
&lt;div class="sample_image 2026_618"&gt;&lt;/div&gt;&lt;/span&gt;</t>
    <phoneticPr fontId="1"/>
  </si>
  <si>
    <t>&lt;span class="w"&gt;&lt;b&gt;【622.on / in behalf of ~：①〜に代わって, 〜を代表して, ②〜のために】&lt;/b&gt;&lt;/span&gt;
&lt;span class="ml"&gt;&lt;span class="explanation_tag"&gt;語源&lt;/span&gt;
behalfは、古英語be （byの語源）と、healfe（左右の側面：halfの語源）が合さってできた語。もともとは、現代英語で言えばby halfという2語であり、「何かのそばに」という位置関係を表した。
&lt;span class="spacer"&gt;&lt;/span&gt;そこから比喩的に、誰かのそばに立つ、その人のために行動する、その人を擁護するというニュアンスへと発展し、「味方」や「利益」という意味になった。
&lt;span class="spacer"&gt;&lt;/span&gt;&lt;span class="explanation_tag"&gt;イメージ&lt;/span&gt;
［on behalf of A］
［in behalf of A］
［on A's behalf］
&lt;span class="spacer"&gt;&lt;/span&gt;これらは、Aのそばに立って行動するイメージから、「Aの代わりに, Aを代表して」や「Aのために」という意味になる。
&lt;div class="sample_image 2026_622"&gt;&lt;/div&gt;&lt;/span&gt;</t>
    <phoneticPr fontId="1"/>
  </si>
  <si>
    <t>&lt;span class="w"&gt;&lt;b&gt;【623.on a / the charge of ~：〜の容疑 / 罪で】&lt;/b&gt;&lt;/span&gt;
&lt;span class="ml"&gt;&lt;span class="explanation_tag"&gt;語源&lt;/span&gt;
chargeは、ラテン語carrus（二輪の荷車）に由来する。&lt;span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&lt;span class="spacer"&gt;&lt;/span&gt;②精神的負担：「責任」
&lt;span class="spacer"&gt;&lt;/span&gt;③金銭的な負担：支払うべき「料金」
&lt;span class="spacer"&gt;&lt;/span&gt;④法的な負担：罪状を課す＝「告発」
&lt;span class="spacer"&gt;&lt;/span&gt;&lt;span class="explanation_tag"&gt;イメージ&lt;/span&gt;
［on a / the charge of A］のchargeは、語源の④法的な責任・罪を意味して、Aの罪（a / the charge of A）に基づいて（on）というイメージ。そこから「Aの罪で, Aの容疑で」という意味になる。
&lt;div class="sample_image 2026_623"&gt;&lt;/div&gt;&lt;/span&gt;</t>
    <phoneticPr fontId="1"/>
  </si>
  <si>
    <t>&lt;span class="w"&gt;&lt;b&gt;【627.in place：①あるべき場所に, 正しい位置に, ②整っている, 準備できている】&lt;/b&gt;&lt;/span&gt;
&lt;span class="ml"&gt;&lt;span class="explanation_tag"&gt;イメージ&lt;/span&gt;
［in place］は、ある物が本来置かれているべき場所に存在するというイメージ。そこから、①「あるべき場所に, 正しい位置に」という意味になる。
&lt;span class="spacer"&gt;&lt;/span&gt;さらに物理的な位置から発展して、物事があるべき場所にあるということから、仕組み・制度などが「整っている, 準備できている」といった意味になる。
&lt;div class="sample_image 2026_627"&gt;&lt;/div&gt;&lt;/span&gt;</t>
    <phoneticPr fontId="1"/>
  </si>
  <si>
    <t>&lt;span class="w"&gt;&lt;b&gt;【724.hardly ~ when / before …：〜するかしないうちに…】&lt;/b&gt;&lt;/span&gt;
&lt;span class="ml"&gt;hardly以外にも、scarcely / barelyも使われる。
&lt;span class="spacer"&gt;&lt;/span&gt;&lt;span class="explanation_tag"&gt;hardlyの語源&lt;/span&gt;
hardlyは、hard（困難な, 厳しい）にlyが付いて副詞になった語。困難で苦労して何かを行うことから、簡単にはできないという意味を経て、そして「ほとんど〜ない」という意味になった。
ハードなことはやり遂げることが簡単ではないので、&lt;strong&gt;ほとんど&lt;/strong&gt;でき&lt;strong&gt;ない&lt;/strong&gt;、というイメージ。
&lt;span class="spacer"&gt;&lt;/span&gt;&lt;span class="explanation_tag"&gt;scarcelyの語源&lt;/span&gt;
scarcelyは、scarce（乏しい）にlyが付いて副詞になった語。
scarceは、ラテン語ex（外に）と、cerpere（取る）が合わさってできた語で、何かを摘み取ることから、摘み取った後の乏しい状態を表すようになった。
scarcelyは、摘み取られてほとんど残っていないから、「ほとんど〜ない」というイメージ。
&lt;span class="spacer"&gt;&lt;/span&gt;&lt;span class="explanation_tag"&gt;barelyの語源&lt;/span&gt;
barelyは、bare（むき出しの）にlyが付いて副詞になった語。むき出しという意味から、ほとんど何もない状態へと発展して、「ほとんど〜ない」という意味になった。
&lt;span class="spacer"&gt;&lt;/span&gt;&lt;span class="explanation_tag"&gt;イメージ&lt;/span&gt;
［hardly ~ when / before …］は、「…のとき / …の前」に、「ほとんど〜していないか、してるかの状態」という、2つの出来事が時系列において重なり合うくらい近いことを表す表現。そこから「〜するかしないうちに…」という訳になる。
&lt;div class="sample_image 2026_724"&gt;&lt;/div&gt;&lt;/span&gt;</t>
    <phoneticPr fontId="1"/>
  </si>
  <si>
    <t>&lt;span class="w"&gt;&lt;b&gt;【742.be supposed to do：〜することになっている】&lt;/b&gt;&lt;/span&gt;
&lt;span class="ml"&gt;&lt;span class="explanation_tag"&gt;語源&lt;/span&gt;
supposeは、ラテン語sub（下に）と、ponere（置く）が合わさってできた語。思考において、何かを既にあるものとして土台に置くイメージから、何かを前提として置く＝「仮定する」という意味になる。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&lt;span class="spacer"&gt;&lt;/span&gt;supposeを「前提に置く」というイメージで覚えておけば、［be supposed to do］は、「〜する」が当然の前提として置かれているので、「〜することになっている」という意味だと理解できる。
&lt;div class="sample_image 2026_742"&gt;&lt;/div&gt;&lt;/span&gt;</t>
    <phoneticPr fontId="1"/>
  </si>
  <si>
    <t>&lt;span class="w"&gt;&lt;b&gt;【744.be entitled to ~：〜の権利・資格がある】&lt;/b&gt;&lt;/span&gt;
&lt;span class="ml"&gt;&lt;span class="explanation_tag"&gt;語源&lt;/span&gt;
entitleは、ラテン語in（中に）と、titlus（題名, タイトル, 称号）が合わさってできた語。書物に対してタイトルをつけることから発展して、人に対して「地位・役職を与える」、人に「権利・資格を与える」という意味になった。
&lt;span class="spacer"&gt;&lt;/span&gt;&lt;span class="explanation_tag"&gt;イメージ&lt;/span&gt;
語源で見た通り、entitleは、［entitle A to B］で「AにBを受ける権利・資格を与える」という意味になる。
&lt;span class="spacer"&gt;&lt;/span&gt;受動態の［A be entitled to B］は、Aは「Bの権利・資格がある」という意味になる。
&lt;div class="sample_image 2026_744"&gt;&lt;/div&gt;&lt;/span&gt;</t>
    <phoneticPr fontId="1"/>
  </si>
  <si>
    <t>&lt;span class="w"&gt;&lt;b&gt;【747.manage to do：なんとか〜する, なんとか〜をやり遂げる】&lt;/b&gt;&lt;/span&gt;
&lt;span class="ml"&gt;&lt;span class="explanation_tag"&gt;語源&lt;/span&gt;
manageは、ラテン語manus（手）に由来する。何かを手で扱うことから、コントロールする＝「管理する」という意味になる。
&lt;span class="spacer"&gt;&lt;/span&gt;また、なんとか管理して事を運ぶことから「なんとかやっていく」、その結果「なんとか成し遂げる」という意味になる。
&lt;span class="spacer"&gt;&lt;/span&gt;&lt;span class="explanation_tag"&gt;イメージ&lt;/span&gt;
管理する（manage）というのは、ふつうは簡単にできることではなく、困難があってスムーズに進まないことに対して使う。なので［manage to do］は、困難な状況や障害がある状況をmanageしてdoへ至る（to）ことから、「なんとか〜する, なんとか〜をやり遂げる」という意味になる。
&lt;div class="sample_image 2026_747"&gt;&lt;/div&gt;&lt;/span&gt;</t>
    <phoneticPr fontId="1"/>
  </si>
  <si>
    <t>&lt;span class="w"&gt;&lt;b&gt;【748.can afford to do：（経済的・時間的に）〜する余裕がある】&lt;/b&gt;&lt;/span&gt;
&lt;span class="ml"&gt;&lt;span class="explanation_tag"&gt;語源&lt;/span&gt;
affordは、古英語ge（完了）と、forð（前へ）から派生した動詞forðian（前進させる）が合わさってできた語にさかのぼる。
&lt;span class="spacer"&gt;&lt;/span&gt;これは、物事を前へ進めて完了させることから、何かを実現するための費用や労力をもっていることを表し、「〜する余裕がある」という意味になった。
&lt;span class="spacer"&gt;&lt;/span&gt;&lt;span class="explanation_tag"&gt;イメージ&lt;/span&gt;
［can afford to do］は語源的に考えれば、費用や労力があってto doを前進させて完了できる（can afford）というイメージになる。そこから「〜する余裕がある」という意味になる。
&lt;div class="sample_image 2026_748"&gt;&lt;/div&gt;&lt;/span&gt;</t>
    <phoneticPr fontId="1"/>
  </si>
  <si>
    <t>&lt;span class="w"&gt;&lt;b&gt;【751.go so far as to do：〜しさえする】&lt;/b&gt;&lt;/span&gt;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［go so far as to do］は直訳すると、to doに一致（as）するほど遠くまで（so far）行く（go）となる。
&lt;span class="spacer"&gt;&lt;/span&gt;この表現のポイントは、farという距離的な遠さが、to doという行動の極端さや意外性を表しているということ。
&lt;span class="spacer"&gt;&lt;/span&gt;つまり、「to doという遠くにある行為にまで行くの（そんなことするの）⁉︎」という表現になっている。そこから、「〜し&lt;strong&gt;さえ&lt;/strong&gt;する」という驚きや非難のニュアンスを含む訳になる。
&lt;div class="sample_image 2026_751"&gt;&lt;/div&gt;&lt;/span&gt;</t>
    <phoneticPr fontId="1"/>
  </si>
  <si>
    <t>&lt;span class="w"&gt;&lt;b&gt;【779.hold on：①持ちこたえる, 頑張る, ②（そのまま）待つ, ③しっかりつかまる】&lt;/b&gt;&lt;/span&gt;
&lt;span class="ml"&gt;&lt;span class="explanation_tag"&gt;イメージ&lt;/span&gt;
［hold on］は、onの「接触」と「継続」というニュアンスをもとに覚えればよい。
&lt;span class="spacer"&gt;&lt;/span&gt;①困難な状況の中で自分の状態を保ち（hold）続ける（on）イメージから、「持ちこたえる, 頑張る」という意味になる。
&lt;span class="spacer"&gt;&lt;/span&gt;②ある状態や状況を保ち（hold）続ける（on）ことから、そのまま「待つ」という意味になる。
&lt;span class="spacer"&gt;&lt;/span&gt;③対象に触れて（on）保持する（hold）ことから、「しっかりつかむ」という意味になる。つかむ対象を示すときはhold on to Aとなる。
&lt;div class="sample_image 2026_779"&gt;&lt;/div&gt;&lt;/span&gt;</t>
    <phoneticPr fontId="1"/>
  </si>
  <si>
    <t>&lt;span class="w"&gt;&lt;b&gt;【780.hang up：①電話を切る, ②服をかける, ③何かを中断する】&lt;/b&gt;&lt;/span&gt;
&lt;span class="ml"&gt;&lt;span class="explanation_tag"&gt;イメージ&lt;/span&gt;
［hang up］のhangは、服をハンガーにかける動作をイメージして覚える。hangは「吊るす」、upは「上に」という意味。
&lt;span class="spacer"&gt;&lt;/span&gt;①昔の電話は壁掛けで、電話が終わると受話器を壁のフックにかけたことから、「電話を切る」という意味になった。
&lt;span class="spacer"&gt;&lt;/span&gt;②ハンガー（hanger）をかけるように、上方向に持ち上げて吊るすことから、「服をかける, 吊るす」という意味になる。
&lt;span class="spacer"&gt;&lt;/span&gt;③物事を上に引っ掛かった状態にしておくことから、「何かを中断する」という意味になる。
&lt;div class="sample_image 2026_780"&gt;&lt;/div&gt;&lt;/span&gt;</t>
    <phoneticPr fontId="1"/>
  </si>
  <si>
    <t>&lt;span class="w"&gt;&lt;b&gt;【784.from scratch：最初から】&lt;/b&gt;&lt;/span&gt;
&lt;span class="ml"&gt;&lt;span class="explanation_tag"&gt;イメージ&lt;/span&gt;
［from scratch］は、徒競走するときに地面に足で線を引いて（scratch）、その線から（from）スタートするイメージ。そこから、「最初から」という意味になる。
&lt;div class="sample_image 2026_784"&gt;&lt;/div&gt;&lt;/span&gt;</t>
    <phoneticPr fontId="1"/>
  </si>
  <si>
    <t>&lt;span class="w"&gt;&lt;b&gt;【785.see〈人〉off：〈人〉を見送る】&lt;/b&gt;&lt;/span&gt;
&lt;span class="ml"&gt;&lt;span class="explanation_tag"&gt;イメージ&lt;/span&gt;
［see〈人〉off］は、人がその場所から離れていく（off）のを見る（see）ことから、「〈人〉を見送る」という意味になる。
&lt;div class="sample_image 2026_785"&gt;&lt;/div&gt;&lt;/span&gt;</t>
    <phoneticPr fontId="1"/>
  </si>
  <si>
    <t>&lt;span class="w"&gt;&lt;b&gt;【787.at / behind the wheel：（車や船などを）運転して】&lt;/b&gt;&lt;/span&gt;
&lt;span class="ml"&gt;&lt;span class="explanation_tag"&gt;イメージ&lt;/span&gt;
wheelは、日本語では車のホイール＝タイヤのイメージがあるが、この語の核は「円」や「輪」。そのため、車や船を操縦するハンドルもwheelと言う。
&lt;span class="spacer"&gt;&lt;/span&gt;［at / behind the wheel］は直訳通り、運転ハンドルの場所にいることを表すので、「運転して」という意味になる。
&lt;span class="spacer"&gt;&lt;/span&gt;&lt;span class="explanation_tag"&gt;補足&lt;/span&gt;
「運転して」という意味から発展して、何かの舵を取る＝主導権を握ってコントロールするという意味でも使われる。
&lt;div class="sample_image 2026_787"&gt;&lt;/div&gt;&lt;/span&gt;</t>
    <phoneticPr fontId="1"/>
  </si>
  <si>
    <t>&lt;span class="w"&gt;&lt;b&gt;【789.on the dot：時間ちょうどに】&lt;/b&gt;&lt;/span&gt;
&lt;span class="ml"&gt;&lt;span class="explanation_tag"&gt;語源&lt;/span&gt;
［on the dot］は、1909年に登場した表現。dotは時計の文字盤の点を指し、その点のちょうど上にいることから、「時間ちょうどに」という意味になった。
&lt;div class="sample_image 2026_789"&gt;&lt;/div&gt;&lt;/span&gt;</t>
    <phoneticPr fontId="1"/>
  </si>
  <si>
    <t>&lt;span class="w"&gt;&lt;b&gt;【794.stick around / about：（帰らずに）その場にとどまる】&lt;/b&gt;&lt;/span&gt;
&lt;span class="ml"&gt;&lt;span class="explanation_tag"&gt;語源&lt;/span&gt;
stickは、古英語stician（突き刺す）にさかのぼる。尖った物で突き刺すことから、さらに突き刺して「固定する」という意味も生まれた。
&lt;span class="spacer"&gt;&lt;/span&gt;&lt;span class="explanation_tag"&gt;イメージ&lt;/span&gt;
［stick around / about］は、ある場所の周囲にくっついて離れないことから、「（帰らずに）その場にとどまる」という意味になる。
&lt;div class="sample_image 2026_794"&gt;&lt;/div&gt;&lt;/span&gt;</t>
    <phoneticPr fontId="1"/>
  </si>
  <si>
    <t>&lt;span class="w"&gt;&lt;b&gt;【797.keep one's fingers crossed：（幸運・成功を）祈る】&lt;/b&gt;&lt;/span&gt;
&lt;span class="ml"&gt;&lt;span class="explanation_tag"&gt;イメージ&lt;/span&gt;
［keep one's fingers crossed］は、片手の人差し指と中指をクロスさせて十字架を作り、その状態をキープすることを表している。クロスはキリスト教の祈り対象であり、そこから「（幸運・成功を）祈る」という意味になる。
&lt;div class="sample_image 2026_797"&gt;&lt;/div&gt;&lt;/span&gt;</t>
    <phoneticPr fontId="1"/>
  </si>
  <si>
    <t>&lt;span class="w"&gt;&lt;b&gt;【800.go to the polls：投票に行く】&lt;/b&gt;&lt;/span&gt;
&lt;span class="ml"&gt;&lt;span class="explanation_tag"&gt;語源&lt;/span&gt;
pollは、中低地ドイツ語・中世オランダ語のpol（頭, 頂部）に由来する。動物や人の頭を数えて全体の状況を把握する行為から発展して、何かを集計したり調査したりすることを表すようになった。「世論調査」「アンケート調査」「投票結果, 投票総数, 投票所」といった集計する仕組みや集計結果を意味する。
&lt;span class="spacer"&gt;&lt;/span&gt;&lt;span class="explanation_tag"&gt;イメージ&lt;/span&gt;
［go to the polls］は直訳の通り、投票箱が複数ある（polls）投票所に行くことを意味する。
&lt;div class="sample_image 2026_800"&gt;&lt;/div&gt;&lt;/span&gt;</t>
    <phoneticPr fontId="1"/>
  </si>
  <si>
    <t>&lt;span class="w"&gt;&lt;b&gt;【803.last but not least：最後にはなったが（価値が少ないということではない）】&lt;/b&gt;&lt;/span&gt;
&lt;span class="ml"&gt;&lt;span class="explanation_tag"&gt;イメージ&lt;/span&gt;
［last but not least］は、順番では最後（last）だが（but）、重要性や価値が最も少ない（least）わけではない（not）ということを表して、「最後にはなったが」という訳になる。
&lt;span class="spacer"&gt;&lt;/span&gt;大事なことから順番に話し、些細なことを後に持ってくるという話題提示の仕方だと、最後は価値がないように思われてしまうので、last but not leastという表現が生まれた。
&lt;div class="sample_image 2026_803"&gt;&lt;/div&gt;&lt;/span&gt;</t>
    <phoneticPr fontId="1"/>
  </si>
  <si>
    <t>&lt;span class="w"&gt;&lt;b&gt;【806.the bottom line：要点, （決算書の）最終行の数字, 最終結果】&lt;/b&gt;&lt;/span&gt;
&lt;span class="ml"&gt;&lt;span class="explanation_tag"&gt;イメージ&lt;/span&gt;
［the bottom line］は直訳すると、「一番下の行, 底の行」となる。決算書では、上から売上高・原価・売上利益…といった各項目の計算が行われ、最終的な利益が一番下の行に書かれる。そこから「最終行の数字」「最終結果」「要点」といった意味になった。
&lt;span class="spacer"&gt;&lt;/span&gt;決算書でなくても、学校の成績表をイメージすればよい。上から各科目の点数が書かれ、一番最後に合計点数・最終順位などが書かれている。これが「最終行の数字」「最終結果」「要点」である。
&lt;div class="sample_image 2026_806"&gt;&lt;/div&gt;&lt;/span&gt;</t>
    <phoneticPr fontId="1"/>
  </si>
  <si>
    <t>&lt;span class="w"&gt;&lt;b&gt;【817.see much of ~：〜によく会う】&lt;/b&gt;&lt;/span&gt;
&lt;span class="ml"&gt;&lt;span class="explanation_tag"&gt;イメージ&lt;/span&gt;
［think much of A］は直訳すると、「Aの多くを見る」となる。Aという対象の多くの時間を目にすることから、「〜によく会う」という意味になる。
&lt;span class="spacer"&gt;&lt;/span&gt;muchは否定文・疑問文で主に使われ、肯定文ではa lot / a great dealなどが使われる。
&lt;span class="spacer"&gt;&lt;/span&gt;またsee little of（ほとんど会わない）, see nothing of（全く会わない）といったバリエーションもある。
&lt;div class="sample_image 2026_817"&gt;&lt;/div&gt;&lt;/span&gt;</t>
    <phoneticPr fontId="1"/>
  </si>
  <si>
    <t>&lt;span class="w"&gt;&lt;b&gt;【819.help oneself to ~：〜を自由に取る】&lt;/b&gt;&lt;/span&gt;
&lt;span class="ml"&gt;&lt;span class="explanation_tag"&gt;語源&lt;/span&gt;
helpには、1680年代から「食卓で人に食べ物を取り分ける」という意味がある。
&lt;span class="spacer"&gt;&lt;/span&gt;&lt;span class="explanation_tag"&gt;イメージ&lt;/span&gt;
［S help oneself to A］は、Sが自分自身にAを取り分けるイメージから、食べ物を「自由に取る」という意味になった。
&lt;span class="spacer"&gt;&lt;/span&gt;またそこから、食べ物に限らず、何かの物を「自由に取る」という意味にもなった。
&lt;div class="sample_image 2026_819"&gt;&lt;/div&gt;&lt;/span&gt;</t>
    <phoneticPr fontId="1"/>
  </si>
  <si>
    <t>&lt;span class="w"&gt;&lt;b&gt;【822.be fed up with ~：〜にうんざりしている】&lt;/b&gt;&lt;/span&gt;
&lt;span class="ml"&gt;&lt;span class="explanation_tag"&gt;イメージ&lt;/span&gt;
fedは、feed（食べ物を与える）の過去分詞。&lt;span class="obsolete"&gt;feedは、語源的にfoodと関連している。&lt;/span&gt;
&lt;span class="spacer"&gt;&lt;/span&gt;［be fed up］は、お腹いっぱいの上限まで（up）食べ物が与えられている（be fed）ことを表す。そして、もう食べられないという満腹状態から、「うんざり」という心理的な不快感へと発展した。
&lt;span class="spacer"&gt;&lt;/span&gt;［be fed up with A］は、with Aでうんざりしている対象を表して、「Aにうんざりしている」という意味になる。
&lt;div class="sample_image 2026_822"&gt;&lt;/div&gt;&lt;/span&gt;</t>
    <phoneticPr fontId="1"/>
  </si>
  <si>
    <t>&lt;span class="w"&gt;&lt;b&gt;【824.think much / highly of ~：〜を高く評価する, 〜を重んじる, 〜を尊敬する】&lt;/b&gt;&lt;/span&gt;
&lt;span class="ml"&gt;&lt;span class="explanation_tag"&gt;イメージ&lt;/span&gt;
［think much / highly of A］は、think of Aに、価値や重要性の強調表現much / highlyが挿入された表現。そこから、「Aを高く評価する」「Aを重んじる, 尊敬する」といった意味になる。
&lt;div class="sample_image 2026_824"&gt;&lt;/div&gt;&lt;/span&gt;</t>
    <phoneticPr fontId="1"/>
  </si>
  <si>
    <t>&lt;span class="w"&gt;&lt;b&gt;【827.hit it off (with ~)：〈人〉と仲良くなる, 意気投合する】&lt;/b&gt;&lt;/span&gt;
&lt;span class="ml"&gt;&lt;span class="explanation_tag"&gt;イメージ&lt;/span&gt;
［hit it off (with 人)］は、誰かと誰かの雰囲気や状況など（it）をバチっとはめて（hit）、そのまま関係性が進んでいく（off）イメージ。
&lt;span class="spacer"&gt;&lt;/span&gt;そこから、「〈人〉と仲良くなる, 意気投合する」という意味になる。
&lt;div class="sample_image 2026_827"&gt;&lt;/div&gt;&lt;/span&gt;</t>
    <phoneticPr fontId="1"/>
  </si>
  <si>
    <t>&lt;span class="w"&gt;&lt;b&gt;【831.be susceptible to ~：〜の影響を受けやすい, 〜に感染しやすい】&lt;/b&gt;&lt;/span&gt;
&lt;span class="ml"&gt;&lt;span class="explanation_tag"&gt;語源&lt;/span&gt;
susceptibleは、ラテン語sub（下から）と、capere（取る）、bilis（〜できる）が合わさってできた語。何かを下からパッと取って受け入れることができることから、影響や病気などを、自分の中へ無防備に取り込んでしまう性質を表して、「影響を受けやすい, 感染しやすい」という意味になった。
&lt;span class="spacer"&gt;&lt;/span&gt;&lt;span class="explanation_tag"&gt;イメージ&lt;/span&gt;
［be susceptible to A］は語源から考えると、Aへと下から手を伸ばしてすんなり受け入れてしまうイメージで、「Aの影響を受けやすい, Aに感染しやすい」という意味になる。
&lt;div class="sample_image 2026_831"&gt;&lt;/div&gt;&lt;/span&gt;</t>
    <phoneticPr fontId="1"/>
  </si>
  <si>
    <t>&lt;span class="w"&gt;&lt;b&gt;【832.be at odds (with ~)：（〜と）食い違っている】&lt;/b&gt;&lt;/span&gt;
&lt;span class="ml"&gt;&lt;span class="explanation_tag"&gt;語源&lt;/span&gt;
oddは、古ノルド語oddi（陸地の先端, 角, 三角形, 3番目, ペアにならない余分な数）に由来する。
&lt;span class="spacer"&gt;&lt;/span&gt;もともとは、陸地の突き出た先端部分や三角形のように、3つ目の角がポツンとはみ出した部分を表した。そこから、ペアにしたときに1つ余る「奇数の」という意味になる。そして、ペアにならずに浮いていることから「奇妙な」という意味になる。
&lt;span class="spacer"&gt;&lt;/span&gt;&lt;span class="explanation_tag"&gt;イメージ&lt;/span&gt;
［S be at odds (with A)］は語源から考えると、Sが（Aと）ペアにならない＝噛み合わない（odds）状態であることを表す。そこから「（Aと）食い違っている」という意味になる。
&lt;div class="sample_image 2026_832"&gt;&lt;/div&gt;&lt;/span&gt;</t>
    <phoneticPr fontId="1"/>
  </si>
  <si>
    <t>&lt;span class="w"&gt;&lt;b&gt;【834.be here to stay：定着している】&lt;/b&gt;&lt;/span&gt;
&lt;span class="ml"&gt;&lt;span class="explanation_tag"&gt;イメージ&lt;/span&gt;
［S be here to stay］は、Sがまさにここにあり（be here）、そしてこれからもステイし続ける（to stay）というイメージ。今後なくなるような存在ではない、一時的な存在ではないことを表して、「定着している」という意味になる。
&lt;div class="sample_image 2026_834"&gt;&lt;/div&gt;&lt;/span&gt;</t>
    <phoneticPr fontId="1"/>
  </si>
  <si>
    <t>&lt;span class="w"&gt;&lt;b&gt;【836.be intent on ~：〜に熱心である】&lt;/b&gt;&lt;/span&gt;
&lt;span class="ml"&gt;intentは、動詞intendの過去分詞と考えればよい。
&lt;span class="spacer"&gt;&lt;/span&gt;&lt;span class="explanation_tag"&gt;intendの語源&lt;/span&gt;
intendは、ラテン語in（中に）と、tendere（伸ばす）が合わさってできた語。対象の中に自分の心や注意を伸ばして向けることから、「注意を向ける, 意図する」という意味になる。
&lt;span class="spacer"&gt;&lt;/span&gt;そしてintentは、対象に注意をグッと伸ばして向けている状態を表して、「熱心である」という意味になる。
&lt;span class="spacer"&gt;&lt;/span&gt;&lt;span class="explanation_tag"&gt;イメージ&lt;/span&gt;
［be intent on A］は、Aの上に注意を伸ばして向けるイメージから、「Aに熱心である」という意味になる。
&lt;div class="sample_image 2026_836"&gt;&lt;/div&gt;&lt;/span&gt;</t>
    <phoneticPr fontId="1"/>
  </si>
  <si>
    <t>&lt;span class="w"&gt;&lt;b&gt;【837.be no match for ~：〜に敵わない】&lt;/b&gt;&lt;/span&gt;
&lt;span class="ml"&gt;&lt;span class="explanation_tag"&gt;語源&lt;/span&gt;
名詞や動詞matchは、日本語でもマッチとして使われる。試合のことをマッチと言い、ピッタリ合うことをマッチすると言う。
&lt;span class="spacer"&gt;&lt;/span&gt;matchは、古英語mæcca（仲間, 妻, 夫, 対等なもの）にさかのぼる。そこから中英語では、「匹敵する相手」「他者と競い合える存在」という意味になった。スポーツの「競技, 試合」はそこから来ている。
&lt;span class="spacer"&gt;&lt;/span&gt;&lt;span class="explanation_tag"&gt;イメージ&lt;/span&gt;
［S be no match for A］のmatchは「匹敵する相手」という意味。Sは、Aにとって匹敵する相手（match）では全くない（no）ということから、「Aに敵わない」という意味になる。
&lt;div class="sample_image 2026_837"&gt;&lt;/div&gt;&lt;/span&gt;</t>
    <phoneticPr fontId="1"/>
  </si>
  <si>
    <t>&lt;span class="w"&gt;&lt;b&gt;【838.be vulnerable to ~：（病気・誘惑など）〜に弱い, （非難・攻撃など）を受けやすい】&lt;/b&gt;&lt;/span&gt;
&lt;span class="ml"&gt;&lt;span class="explanation_tag"&gt;語源&lt;/span&gt;
vulnerableは、ラテン語vulnus（傷）と、bilis（可能, 可能性）が合わさってできた語。この語の核は「傷」と「可能性」。物理的、精神的、そして抽象的に傷がつくということを表し、「弱い, もろい, 傷つきやすい」という意味になった。
&lt;span class="spacer"&gt;&lt;/span&gt;抽象的とは、たとえば国やシステムなどが傷つきやすい、つまり脆いということを意味する。
&lt;span class="spacer"&gt;&lt;/span&gt;&lt;span class="explanation_tag"&gt;イメージ&lt;/span&gt;
［be vulnerable to A］は、Aに対して傷つく可能性があるということを表して、「（病気・誘惑など）〜に弱い, （非難・攻撃など）を受けやすい」という意味になる。
&lt;div class="sample_image 2026_838"&gt;&lt;/div&gt;&lt;/span&gt;</t>
    <phoneticPr fontId="1"/>
  </si>
  <si>
    <t>&lt;span class="w"&gt;&lt;b&gt;【839.be eligible for ~：〜の資格がある】&lt;/b&gt;&lt;/span&gt;
&lt;span class="ml"&gt;&lt;span class="explanation_tag"&gt;語源&lt;/span&gt;
eligibleは、ラテン語eligere（選ぶ）と、bilis（できる）が合わさってできた語。何かに対して「選ばれ得る」ということから、「選ばれるのにふさわしい」「選ばれる資格がある」という意味になった。
&lt;span class="spacer"&gt;&lt;/span&gt;ラテン語eligereからは、elect（選ぶ）も生まれているので、eligibleはelect＋able＝「選ばれ得る」と考えればよい。
&lt;span class="spacer"&gt;&lt;/span&gt;&lt;span class="explanation_tag"&gt;イメージ&lt;/span&gt;
［be eligible for A］は語源から考えると、Aへ選ばれるのにふさわしいということから、「Aの資格がある」という意味になる。
&lt;div class="sample_image 2026_839"&gt;&lt;/div&gt;&lt;/span&gt;</t>
    <phoneticPr fontId="1"/>
  </si>
  <si>
    <t>&lt;span class="w"&gt;&lt;b&gt;【841.be out to do：〜しようと狙っている】&lt;/b&gt;&lt;/span&gt;
&lt;span class="ml"&gt;&lt;span class="explanation_tag"&gt;イメージ&lt;/span&gt;
［be out to do］は直訳すると、「何かをするために外に出ている」となる。ある目的のために外に出て行動しているイメージから、「〜しようと狙っている」という意味になる。
&lt;div class="sample_image 2026_841"&gt;&lt;/div&gt;&lt;/span&gt;</t>
    <phoneticPr fontId="1"/>
  </si>
  <si>
    <t>&lt;span class="w"&gt;&lt;b&gt;【843.be beside oneself (with ~)：（〜で）我を忘れる】&lt;/b&gt;&lt;/span&gt;
&lt;span class="ml"&gt;&lt;span class="explanation_tag"&gt;イメージ&lt;/span&gt;
［S be beside oneself (with A)］は直訳すると、Sが（Aで）自分自身の横にいる（beside）となる。感情が強すぎて自分の意識が肉体を離れてしまい、自分をコントロールできない状態を表すことから、「（Aで）我を忘れる」という意味になる。
&lt;div class="sample_image 2026_843"&gt;&lt;/div&gt;&lt;/span&gt;</t>
    <phoneticPr fontId="1"/>
  </si>
  <si>
    <t>&lt;span class="w"&gt;&lt;b&gt;【844.be cut out to be ~：〜に向いている】&lt;/b&gt;&lt;/span&gt;
&lt;span class="ml"&gt;&lt;span class="explanation_tag"&gt;イメージ&lt;/span&gt;
［S be cut out to be A］は直訳すると、SはAになるように（to be）切り出されている（be cut out）となる。これは、SがAにピッタリ合わせて切り取られたみたいに、性格や能力などがAに適していることを表して、「Aに向いている」という意味になる。
&lt;div class="sample_image 2026_844"&gt;&lt;/div&gt;&lt;/span&gt;</t>
    <phoneticPr fontId="1"/>
  </si>
  <si>
    <t>&lt;span class="w"&gt;&lt;b&gt;【846.account for ~：①（割合など）〜を占める, ②〜の説明となる】&lt;/b&gt;&lt;/span&gt;
&lt;span class="ml"&gt;&lt;span class="explanation_tag"&gt;語源&lt;/span&gt;
accountは、古フランス語a（～へ）と、cont（計算）が合わさってできた語。contは、英語のcountや日本語のカウントと同じで計算を意味する。
&lt;span class="spacer"&gt;&lt;/span&gt;このまま日本語にすると「〜への計算」となるが、これは特にお金の計算や、それに関する意味へと発展していく。
&lt;span class="spacer"&gt;&lt;/span&gt;お金のやり取りの計算やそれを記したものから「勘定, 口座」という意味になる。
&lt;span class="spacer"&gt;&lt;/span&gt;また、預かっているお金がどうなっているかを詳細に説明することから、一般的な行動の「説明」という意味になる。
&lt;span class="spacer"&gt;&lt;/span&gt;&lt;span class="explanation_tag"&gt;イメージ&lt;/span&gt;
［account for A］は、語源でみたように、計算系の意味と、説明系の意味になる。
&lt;span class="spacer"&gt;&lt;/span&gt;計算系の意味は、①「（割合など）Aを占める」という意味になり、説明系の意味は②「Aの説明となる」という意味になる。
&lt;div class="sample_image 2026_846"&gt;&lt;/div&gt;&lt;/span&gt;</t>
    <phoneticPr fontId="1"/>
  </si>
  <si>
    <t>&lt;span class="w"&gt;&lt;b&gt;【847.allow for ~：〜の余地を与える, 〜を考慮に入れる, 〜を可能にする】&lt;/b&gt;&lt;/span&gt;
&lt;span class="ml"&gt;&lt;span class="explanation_tag"&gt;イメージ&lt;/span&gt;
allowは、まずallow 人 to do（人に〜することを許す）を覚えるが、ここからallow＝何かを与えるというイメージをつかむ。
&lt;span class="spacer"&gt;&lt;/span&gt;［allow 人 to do］は、許可を与える。
&lt;span class="spacer"&gt;&lt;/span&gt;［allow for A］は、Aのために余地を与える。思考の中の余地なら「考慮に入れる」となり、可能性の余地であれば「可能にする」という意味になる。
&lt;div class="sample_image 2026_847"&gt;&lt;/div&gt;&lt;/span&gt;</t>
    <phoneticPr fontId="1"/>
  </si>
  <si>
    <t>&lt;span class="w"&gt;&lt;b&gt;【848.settle for ~：（不十分ながら）〜で我慢する】&lt;/b&gt;&lt;/span&gt;
&lt;span class="ml"&gt;&lt;span class="explanation_tag"&gt;語源&lt;/span&gt;
settleは、古英語setl（座席）から派生した動詞setlan（座席に座らせる,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&lt;span class="spacer"&gt;&lt;/span&gt;&lt;span class="explanation_tag"&gt;イメージ&lt;/span&gt;
［settle for A］は、他に望ましいことがあるがAで落ち着くことから、「Aで我慢する」という意味になる。
&lt;div class="sample_image 2026_848"&gt;&lt;/div&gt;&lt;/span&gt;</t>
    <phoneticPr fontId="1"/>
  </si>
  <si>
    <t>&lt;span class="w"&gt;&lt;b&gt;【852.coincide with ~：〜と一致する, 〜と同時に起こる】&lt;/b&gt;&lt;/span&gt;
&lt;span class="ml"&gt;&lt;span class="explanation_tag"&gt;語源&lt;/span&gt;
coincideは、ラテン語com（共に）と、in（〜の中に）、cadere（落ちる）が合わさってできた語。何かの中に一緒に落ちていくことから、「一致する」という意味になる。
&lt;span class="spacer"&gt;&lt;/span&gt;また、現実の中に何かが一緒に降りかかってくることから、「同時に起こる」という意味になる。
&lt;span class="spacer"&gt;&lt;/span&gt;［S coincide with A］は、SがAと一緒に降りかかるイメージから、「Aと一致する, Aと同時に起こる」となる。
&lt;span class="spacer"&gt;&lt;/span&gt;&lt;span class="explanation_tag"&gt;補足&lt;/span&gt;
co&lt;strong&gt;incide&lt;/strong&gt;のincide部分は、incident（出来事）と同じだと考えてよい。
&lt;div class="sample_image 2026_852"&gt;&lt;/div&gt;&lt;/span&gt;</t>
    <phoneticPr fontId="1"/>
  </si>
  <si>
    <t>&lt;span class="w"&gt;&lt;b&gt;【853.comply with ~：（規則・命令）に従う】&lt;/b&gt;&lt;/span&gt;
&lt;span class="ml"&gt;&lt;span class="explanation_tag"&gt;語源&lt;/span&gt;
complyは、ラテン語com（完全に）と、plere（満たす）が合わさってできた語。このラテン語からは、complete（完成させる）も生まれている。
&lt;span class="spacer"&gt;&lt;/span&gt;相手の要求・意思・命令などを完全に満たす行動をすることから、［comply with A］は、「Aに従う」という意味になる。
&lt;div class="sample_image 2026_853"&gt;&lt;/div&gt;&lt;/span&gt;</t>
    <phoneticPr fontId="1"/>
  </si>
  <si>
    <t>&lt;span class="w"&gt;&lt;b&gt;【854.dispense with ~：〜をなしで済ます】&lt;/b&gt;&lt;/span&gt;
&lt;span class="ml"&gt;&lt;span class="explanation_tag"&gt;語源&lt;/span&gt;
dispenseは、ラテン語dis（外へ）と、pendere（ぶら下げる）が合わさってできた語。昔はお金を支払う際に、出したお金を天秤に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の権利を分け与えるという意味で使われるようになった。そこから、英語dispenseは「なしで済ませる」という意味になった。
&lt;span class="spacer"&gt;&lt;/span&gt;そのため［dispense with A］は、「Aをなしで済ませる」という意味になる。
&lt;span class="spacer"&gt;&lt;/span&gt;&lt;span class="explanation_tag"&gt;イメージ&lt;/span&gt;
［dispense with A］は語源から考えれば、Aを外へ吊り下げて手元から遠ざけるイメージから、「Aをなしで済ませる」という意味になる。
&lt;div class="sample_image 2026_854"&gt;&lt;/div&gt;&lt;/span&gt;</t>
    <phoneticPr fontId="1"/>
  </si>
  <si>
    <t>&lt;span class="w"&gt;&lt;b&gt;【855.attend to ~：〜を処理する, 〜に注意を払う, 〜の世話をする】&lt;/b&gt;&lt;/span&gt;
&lt;span class="ml"&gt;&lt;span class="explanation_tag"&gt;語源&lt;/span&gt;
attendは、ラテン語ad（～へ）と、tendere（伸ばす）が合わさってできた語。
&lt;span class="spacer"&gt;&lt;/span&gt;心や労力を相手へ伸ばすことから、「注意を払う」「世話をする」という意味になる。
&lt;span class="spacer"&gt;&lt;/span&gt;また、労力を問題へ伸ばすことから「処理する」という意味になる。
&lt;span class="spacer"&gt;&lt;/span&gt;［attend to A］は、心や労力を伸ばす対象をto で示して、「Aを処理する, Aに注意を払う, Aの世話をする」という意味になる。
&lt;span class="spacer"&gt;&lt;/span&gt;&lt;span class="explanation_tag"&gt;補足&lt;/span&gt;
attendには、世話をするために付き添う＝一緒にどこかへ行くということから発展して、「出席する」という意味もある。この意味では［to］は使わないで、［attend A］という形になる。
&lt;div class="sample_image 2026_855"&gt;&lt;/div&gt;&lt;/span&gt;</t>
    <phoneticPr fontId="1"/>
  </si>
  <si>
    <t>&lt;span class="w"&gt;&lt;b&gt;【856.aspire to ~ ：〜を熱望する】&lt;/b&gt;&lt;/span&gt;
&lt;span class="ml"&gt;&lt;span class="explanation_tag"&gt;語源&lt;/span&gt;
aspireは、ラテン語ad（〜へ）と、spirare（息をする）が合わさってできた語。犬が獲物を追ってハァハァと息を切らす様子や、人が高みにある目標に向かって息を弾ませるような、目標に向かって息を荒らげるイメージから、対象を「熱望する」という意味になる。
&lt;span class="spacer"&gt;&lt;/span&gt;&lt;span class="explanation_tag"&gt;イメージ&lt;/span&gt;
［aspire to A］は、Aに向かって息を荒くしながら進むイメージから、「Aを熱望する」という意味になる。
&lt;div class="sample_image 2026_856"&gt;&lt;/div&gt;&lt;/span&gt;</t>
    <phoneticPr fontId="1"/>
  </si>
  <si>
    <t>&lt;span class="w"&gt;&lt;b&gt;【857.submit to ~：〜に屈する】&lt;/b&gt;&lt;/span&gt;
&lt;span class="ml"&gt;&lt;span class="explanation_tag"&gt;語源&lt;/span&gt;
submitは、ラテン語sub（〜の下に）と、mittere（送る, 放つ）が合わさってできた語。下へ送るという物理的な下方向への動きから、自分自身を相手の下に置き、相手に「従う」という意味になる。
&lt;span class="spacer"&gt;&lt;/span&gt;［S submit to A］は語源から考えると、Aに対してSが身を下に置くイメージ。そこから「Aに従う」という意味になる。
&lt;span class="spacer"&gt;&lt;/span&gt;&lt;span class="explanation_tag"&gt;補足&lt;/span&gt;
submitは、自分で判断するのではなく他者の判断に「従う」ために、自分の意見や考えなどを差し出すことから、何かを「提出する」という意味もある。
&lt;div class="sample_image 2026_857"&gt;&lt;/div&gt;&lt;/span&gt;</t>
    <phoneticPr fontId="1"/>
  </si>
  <si>
    <t>&lt;span class="w"&gt;&lt;b&gt;【858.consent to ~：〜に同意する】&lt;/b&gt;&lt;/span&gt;
&lt;span class="ml"&gt;&lt;span class="explanation_tag"&gt;語源&lt;/span&gt;
consentは、ラテン語con（共に）と、sentire（感じる）が合わさってできた語。共に感じる＝感情や判断が一致することから「同意, 承諾」という意味になる。
&lt;span class="spacer"&gt;&lt;/span&gt;このラテン語からは、consensus（意見の総意）も生まれている。
&lt;span class="spacer"&gt;&lt;/span&gt;［consent to A］は、Aに対して感情や判断が一致することから、「Aに同意する」という意味になる。
&lt;div class="sample_image 2026_858"&gt;&lt;/div&gt;&lt;/span&gt;</t>
    <phoneticPr fontId="1"/>
  </si>
  <si>
    <t>&lt;span class="w"&gt;&lt;b&gt;【860.persist in ~：〜に固執する】&lt;/b&gt;&lt;/span&gt;
&lt;span class="ml"&gt;&lt;span class="explanation_tag"&gt;語源&lt;/span&gt;
persistは、ラテン語per（完全に）と、sistere（立つ）が合わさってできた語。何があっても立ち続け、その場から動かないイメージから、その状態や行動が「続く」、何かに「固執する」という意味になる。
&lt;span class="spacer"&gt;&lt;/span&gt;［persist in A］は語源から考えると、Aの中に立ち続けて動かないイメージから、「Aに固執する」という意味になる。
&lt;div class="sample_image 2026_860"&gt;&lt;/div&gt;&lt;/span&gt;</t>
    <phoneticPr fontId="1"/>
  </si>
  <si>
    <t>&lt;span class="w"&gt;&lt;b&gt;【862.embark on ~：（事業・計画など）に乗り出す, 〜を始める】&lt;/b&gt;&lt;/span&gt;
&lt;span class="ml"&gt;&lt;span class="explanation_tag"&gt;語源&lt;/span&gt;
embarkは、フランス語en（中に）と、barque（小舟）が合わさってできた語。船に乗って航海へ出ることから比喩的に、事業や計画など「に乗り出す」や、何かを「始める」という意味になる。
&lt;span class="spacer"&gt;&lt;/span&gt;&lt;span class="explanation_tag"&gt;イメージ&lt;/span&gt;
［embark on A］は、まるで船に乗って大海原へと漕ぎ出すように、Aに乗って前へと進んでいくイメージから、「Aに乗り出す, Aを始める」となる。
&lt;div class="sample_image 2026_862"&gt;&lt;/div&gt;&lt;/span&gt;</t>
    <phoneticPr fontId="1"/>
  </si>
  <si>
    <t>&lt;span class="w"&gt;&lt;b&gt;【863.dwell on ~：①〜を詳細に述べる, ②〜をくよくよ考える, 〜にこだわる】&lt;/b&gt;&lt;/span&gt;
&lt;span class="ml"&gt;&lt;span class="explanation_tag"&gt;語源&lt;/span&gt;
dwellは、印欧祖語*dhwel-（煙, 蒸気, 塵）といった視界をさえぎるものにさかのぼる。物理的に前が見えにくいということから、&lt;strong&gt;知覚や判断力が鈍っている&lt;/strong&gt;ことへとつながり、古英語dwellan（だます, 惑わせる）となった。
&lt;span class="spacer"&gt;&lt;/span&gt;12世紀後期の中英語では、知覚や判断力だけではなく、&lt;strong&gt;行動が鈍ること&lt;/strong&gt;へと発展し、先延ばしにする・遅れるということを表した。
&lt;span class="spacer"&gt;&lt;/span&gt;そしてそこから、行動せずぐずぐずする・ある場所に留まるという&lt;strong&gt;動かないこと&lt;/strong&gt;を表すようになり、14世紀半ばには、ある場所にどっしり構える＝「住む」という意味になった。
&lt;span class="spacer"&gt;&lt;/span&gt;また、&lt;strong&gt;動かないこと&lt;/strong&gt;から、14世紀後期には、ある状態のままとどまるという意味でも用いられており、これが［dwell on A］につながった。
&lt;span class="spacer"&gt;&lt;/span&gt;&lt;span class="explanation_tag"&gt;イメージ&lt;/span&gt;
［dwell on A］は語源で見た「動かない」というイメージが核にあり、Aの上に意識や言葉を向け続けて動かない感じ。そこから、Aに関して言葉にし続ける＝「Aを詳細に述べる」や、Aに意識を向け続ける＝「Aをくよくよ考える, Aにこだわる」という意味になる。
&lt;div class="sample_image 2026_863"&gt;&lt;/div&gt;&lt;/span&gt;</t>
    <phoneticPr fontId="1"/>
  </si>
  <si>
    <t>&lt;span class="w"&gt;&lt;b&gt;【865.refrain from ~：〜を慎む】&lt;/b&gt;&lt;/span&gt;
&lt;span class="ml"&gt;&lt;span class="explanation_tag"&gt;語源&lt;/span&gt;
refrainは、ラテン語re（後ろに）と、frenare（手綱をつける, 抑制する）が合わさってできた語。前へ進もうとする犬のリードを引っ張って抑制するように、手綱を握って後ろに抑えることから、何かを「慎む」という意味になった。
&lt;span class="spacer"&gt;&lt;/span&gt;&lt;span class="explanation_tag"&gt;イメージ&lt;/span&gt;
［refrain from A］は、後ろに手綱を引っ張ってAから遠ざけるイメージから、「Aを慎む」という意味になる。
&lt;div class="sample_image 2026_865"&gt;&lt;/div&gt;&lt;/span&gt;</t>
    <phoneticPr fontId="1"/>
  </si>
  <si>
    <t>&lt;span class="w"&gt;&lt;b&gt;【866.discriminate against ~：〜を差別する】&lt;/b&gt;&lt;/span&gt;
&lt;span class="ml"&gt;&lt;span class="explanation_tag"&gt;語源&lt;/span&gt;
discriminateは、ラテン語dis（離れて）と、cernere（ふるい分ける）が合わさってできた語。もともとはふるいにかけて何かを分離するように、あるものを「区別する」ことを意味したが、1866年にアメリカ英語において「差別する」という意味でも使われるようになった。
&lt;span class="spacer"&gt;&lt;/span&gt;&lt;span class="explanation_tag"&gt;イメージ&lt;/span&gt;
［discriminate against A］は、Aを自分と対立する側に置いて（against A）区別する（discriminate）ことから、「Aを差別する」という意味になる。
&lt;div class="sample_image 2026_866"&gt;&lt;/div&gt;&lt;/span&gt;</t>
    <phoneticPr fontId="1"/>
  </si>
  <si>
    <t>&lt;span class="w"&gt;&lt;b&gt;【867.abide by ~：（法など）に従う, （約束など）を守る】&lt;/b&gt;&lt;/span&gt;
&lt;span class="ml"&gt;&lt;span class="explanation_tag"&gt;語源&lt;/span&gt;
abideは、古英語ge-（完了）と、biden（とどまる, 住む）が合わさってできた語。これは、ある場所にじっと動かずにいるイメージ。そこから「とどまる」という古い意味や、じっと動かずに何かに「耐える」、規則や約束の中にずっといて「従う, 守る」という意味になった。
&lt;span class="spacer"&gt;&lt;/span&gt;&lt;span class="explanation_tag"&gt;イメージ&lt;/span&gt;
［abide by A］は、Aのそばにじっと留まって離れないイメージから、「Aに従う, Aを守る」という意味になる。
&lt;div class="sample_image 2026_867"&gt;&lt;/div&gt;&lt;/span&gt;</t>
    <phoneticPr fontId="1"/>
  </si>
  <si>
    <t>&lt;span class="w"&gt;&lt;b&gt;【871.pass out：①気絶する, 酔いつぶれる, ②～を配る】&lt;/b&gt;&lt;/span&gt;
&lt;span class="ml"&gt;&lt;span class="explanation_tag"&gt;語源&lt;/span&gt;
［pass out］は、1915年から①「気絶する」という意味が確認されるが、これはおそらく、pass awayのような死ぬという意味が弱まったものだと考えられる。
&lt;span class="spacer"&gt;&lt;/span&gt;つまり、ある人やその人の魂が（もう戻れない）あの世へpassすることから程度が弱まり、意識が身体の外へ出る（また戻れる）ことを表すようになって、「気絶する, 酔いつぶれる」となった。
&lt;span class="spacer"&gt;&lt;/span&gt;1926年からは、②「～を配る」という意味が確認される。これは、何かを外に（out）パスするという言葉通りの意味。
&lt;div class="sample_image 2026_871"&gt;&lt;/div&gt;&lt;/span&gt;</t>
    <phoneticPr fontId="1"/>
  </si>
  <si>
    <t>&lt;span class="w"&gt;&lt;b&gt;【873.wind up (~)：〜を終わりにする, 終わる】&lt;/b&gt;&lt;/span&gt;
&lt;span class="ml"&gt;windは、発音をカタカナ表記すると「ワインド」であり、風を意味するウィンドではないので注意。
&lt;span class="spacer"&gt;&lt;/span&gt;&lt;span class="explanation_tag"&gt;語源&lt;/span&gt;windの意味は「巻く, ねじる」。1300年頃から「何かをぐるぐる巻き付ける」という意味が見られ、1600年頃からは「時計や機械仕掛けのゼンマイやバネをねじって動く状態にする」という意味が見られる。
&lt;span class="spacer"&gt;&lt;/span&gt;&lt;span class="explanation_tag"&gt;イメージ&lt;/span&gt;
［wind up (~)］は、時計や機械のゼンマイを完全に（up）最後まで巻き切る（wind）ことから、何かを「終わらせる」、何かが「終わる」というイメージで覚えればよい。
&lt;span class="spacer"&gt;&lt;/span&gt;&lt;span class="explanation_tag"&gt;補足&lt;/span&gt;
wind ~ upの語順にもなる。
&lt;div class="sample_image 2026_873"&gt;&lt;/div&gt;&lt;/span&gt;</t>
    <phoneticPr fontId="1"/>
  </si>
  <si>
    <t>&lt;span class="w"&gt;&lt;b&gt;【874.pull up (~)：①〜を引き抜く, （椅子など）を引き寄せる, ②（車などが）止まる, （車など）を止める】&lt;/b&gt;&lt;/span&gt;
&lt;span class="ml"&gt;&lt;span class="explanation_tag"&gt;語源&lt;/span&gt;
［pull up］は、14世紀初頭に「何かを持ち上げる」という意味で使われ、1800年代には、馬に乗っている人が手綱を引き上げて馬を止めることから、馬や車などについて「止まる, 止める」という意味で使われるようになった。
&lt;span class="spacer"&gt;&lt;/span&gt;&lt;span class="explanation_tag"&gt;イメージ&lt;/span&gt;
［pull up (~)］は、何かを上方向や手前方向に（up）引く（pull）ことから、①「〜を引き抜く, （椅子など）を引き寄せる」といった意味になる。
&lt;span class="spacer"&gt;&lt;/span&gt;また手綱を引き上げて馬を止めることから、②「（車などが）止まる, （車など）を止める」という意味になる。
&lt;span class="spacer"&gt;&lt;/span&gt;&lt;span class="explanation_tag"&gt;補足&lt;/span&gt;
pull ~ upの語順にもなる。
&lt;div class="sample_image 2026_874"&gt;&lt;/div&gt;&lt;/span&gt;</t>
    <phoneticPr fontId="1"/>
  </si>
  <si>
    <t>&lt;span class="w"&gt;&lt;b&gt;【876.round up ~：〜を寄せ集める, 〜を検挙（逮捕）する】&lt;/b&gt;&lt;/span&gt;
&lt;span class="ml"&gt;&lt;span class="explanation_tag"&gt;語源&lt;/span&gt;
［round up］は、上部（up）が丸くなるように（round）まとめて積み上げておくことから、散らばっているものを「寄せ集める」という意味になった。
&lt;span class="spacer"&gt;&lt;/span&gt;また何かを寄せ集めることから、カウボーイや牧羊犬が放牧地で牛や羊を1カ所に集めることへとつながった。
&lt;span class="spacer"&gt;&lt;/span&gt;そして1カ所に集めて自由に動けなくする様子から、何かを一網打尽にする＝「〜を検挙する, 逮捕する」という意味にもなった。
&lt;span class="spacer"&gt;&lt;/span&gt;&lt;span class="explanation_tag"&gt;補足&lt;/span&gt;
［round up］には、数字を丸めて（round）上にあげる（up）ことから「数字を切り上げる」という意味もある。
&lt;div class="sample_image 2026_876"&gt;&lt;/div&gt;&lt;/span&gt;</t>
    <phoneticPr fontId="1"/>
  </si>
  <si>
    <t>&lt;span class="w"&gt;&lt;b&gt;【877.catch on：①人気が出る, ②理解する】&lt;/b&gt;&lt;/span&gt;
&lt;span class="ml"&gt;&lt;span class="explanation_tag"&gt;イメージ&lt;/span&gt;
［catch on］は、何かを掴んで（catch）それにくっつく（on）イメージ。
&lt;span class="spacer"&gt;&lt;/span&gt;①アイデア・商品・サービスなどが人々の心を掴み、ピタッとくっついて離れないイメージから、「人気が出る」という意味になる。
&lt;span class="spacer"&gt;&lt;/span&gt;②自分の意識が、状況や相手の意図にピタッとくっついて捉えるイメージから、「理解する」という意味になる。これは、言葉の裏にある意図や、すぐには分からない状況に対して、「あ、なるほど！」と頭が状況を掴むイメージ。
&lt;span class="spacer"&gt;&lt;/span&gt;理解する対象を示したい場合は、［catch on &lt;strong&gt;to&lt;/strong&gt; ~］を使う。
&lt;div class="sample_image 2026_877"&gt;&lt;/div&gt;&lt;/span&gt;</t>
    <phoneticPr fontId="1"/>
  </si>
  <si>
    <t>&lt;span class="w"&gt;&lt;b&gt;【880.hang around / about / round：ぶらつく】&lt;/b&gt;&lt;/span&gt;
&lt;span class="ml"&gt;&lt;span class="explanation_tag"&gt;イメージ&lt;/span&gt;
around / about / roundは、いずれも「周囲」を表す。
&lt;span class="spacer"&gt;&lt;/span&gt;［hang around / about / round］は、ある場所に固定されてぶら下がっているものがフラフラ揺れるように、ある場所の周囲を「ぶらつく」という意味になる。
&lt;div class="sample_image 2026_880"&gt;&lt;/div&gt;&lt;/span&gt;</t>
    <phoneticPr fontId="1"/>
  </si>
  <si>
    <t>&lt;span class="w"&gt;&lt;b&gt;【883.pull off ~：（困難なこと）をやってのける】&lt;/b&gt;&lt;/span&gt;
&lt;span class="ml"&gt;&lt;span class="explanation_tag"&gt;語源&lt;/span&gt;
［pull off A］は、根本的には、くっついているものを引き（pull）離す（off）ことを表す。
&lt;span class="spacer"&gt;&lt;/span&gt;1870年に、スポーツにおいて賞金を持っていく＝勝ち取ることを表したことから、困難なことを「やってのける」という意味になった。
&lt;div class="sample_image 2026_883"&gt;&lt;/div&gt;&lt;/span&gt;</t>
    <phoneticPr fontId="1"/>
  </si>
  <si>
    <t>&lt;span class="w"&gt;&lt;b&gt;【884.follow through (on / with ~)：（〜を）やり遂げる】&lt;/b&gt;&lt;/span&gt;
&lt;span class="ml"&gt;このthroughは、「何かを通過して最後まで」という意味。
&lt;span class="spacer"&gt;&lt;/span&gt;&lt;span class="explanation_tag"&gt;語源&lt;/span&gt;
［follow through］は、もともとゴルフにおいて、一度始めたスウィングの動作を途中で止めることをなく、最後まで振り抜くことを意味した。
&lt;span class="spacer"&gt;&lt;/span&gt;そこからゴルフに限らず、何かを徹底的に行うことを表すようになり、「やり遂げる」という意味になった。
&lt;span class="spacer"&gt;&lt;/span&gt;やり遂げる対象は、［on / with A］で表す。
&lt;div class="sample_image 2026_884"&gt;&lt;/div&gt;&lt;/span&gt;</t>
    <phoneticPr fontId="1"/>
  </si>
  <si>
    <t>&lt;span class="w"&gt;&lt;b&gt;【888.make (both) ends meet：収入内でやりくりする】&lt;/b&gt;&lt;/span&gt;
&lt;span class="ml"&gt;&lt;span class="explanation_tag"&gt;イメージ&lt;/span&gt;
［make (both) ends meet］は直訳すると、両方の端（both ends）を合う（meet）ようにする（make）となる。これは、収入側の端（合計）と支出側の端（合計）を合うようにすることから、「収入内でやりくりする」という意味になる。
&lt;span class="spacer"&gt;&lt;/span&gt;収入ーーー0ーーー支出
支出側がオーバーしてしまうと両端が合わなくなる。
&lt;div class="sample_image 2026_888"&gt;&lt;/div&gt;&lt;/span&gt;</t>
    <phoneticPr fontId="1"/>
  </si>
  <si>
    <t>&lt;span class="w"&gt;&lt;b&gt;【900.live up to ~：（期待など）に沿う, （約束など）を果たす】&lt;/b&gt;&lt;/span&gt;
&lt;span class="ml"&gt;&lt;span class="explanation_tag"&gt;語源&lt;/span&gt;
1680年代に、live up（道徳的・精神的に高い水準で生きる）という表現があり、1690年代に、live up to（〜の基準を下回って生きない, 〜に従って行動する）という表現が見られる。
&lt;span class="spacer"&gt;&lt;/span&gt;&lt;span class="explanation_tag"&gt;イメージ&lt;/span&gt;
［live up to A］は直訳すると、「Aという水準に対して、それよりも上の水準で生きる」となる。たとえば、Aに「誰かの期待」が入れば、その人の期待よりも上で生きる（＝期待以下にならない）ことから、「（期待）に沿う」という意味になる。
&lt;span class="spacer"&gt;&lt;/span&gt;また、Aに「約束」が入れば、その約束よりも上で生きる（＝約束を破らない）ことから、「（約束）を果たす」という意味になる。
&lt;div class="sample_image 2026_900"&gt;&lt;/div&gt;&lt;/span&gt;</t>
    <phoneticPr fontId="1"/>
  </si>
  <si>
    <t>&lt;span class="w"&gt;&lt;b&gt;【907.fall short of ~：（目標・基準など）〜に達しない】&lt;/b&gt;&lt;/span&gt;
&lt;span class="ml"&gt;&lt;span class="explanation_tag"&gt;語源&lt;/span&gt;
ofは、古英語æf（離れて）にさかのぼる。もともとofの主要な意味は「離れて」だったが、1200年頃までにoffが生まれて、その「離れて」という意味を引き継いだ。
&lt;span class="spacer"&gt;&lt;/span&gt;&lt;span class="explanation_tag"&gt;イメージ&lt;/span&gt;
［fall short of A］は直訳すると、物理的にAから離れた（of A）距離の足りないところ（short）に落ちる（fall）となる。そこから、「（目標・基準など）Aに達しない」という意味になる。
&lt;div class="sample_image 2026_907"&gt;&lt;/div&gt;&lt;/span&gt;</t>
    <phoneticPr fontId="1"/>
  </si>
  <si>
    <t>&lt;span class="w"&gt;&lt;b&gt;【908.go a long way to do：〜するのに大いに役立つ】&lt;/b&gt;&lt;/span&gt;
&lt;span class="ml"&gt;&lt;span class="explanation_tag"&gt;イメージ&lt;/span&gt;
［S go a long way to do］は、Sがdoに到達するまでの（to do）長い道（a long way）を行く（go）というイメージ。
&lt;span class="spacer"&gt;&lt;/span&gt;つまり、doというゴールにたどり着くまでの長い道をSによって進むことができるので、「Sは〜するのに大いに役立つ」という意味になる。
&lt;div class="sample_image 2026_908"&gt;&lt;/div&gt;&lt;/span&gt;</t>
    <phoneticPr fontId="1"/>
  </si>
  <si>
    <t>&lt;span class="w"&gt;&lt;b&gt;【909.pave the way for / to ~：〜への準備をする（道を開く）】&lt;/b&gt;&lt;/span&gt;
&lt;span class="ml"&gt;&lt;span class="explanation_tag"&gt;イメージ&lt;/span&gt;
paveは、石のブロックやタイルなどを敷いて、道や床など「を舗装する」という意味。
&lt;span class="spacer"&gt;&lt;/span&gt;［pave the way for / to A］は直訳すると、「Aのための / Aへの道を舗装する」となる。
&lt;span class="spacer"&gt;&lt;/span&gt;実際に道を舗装することから比喩的に、Aという目的へ進んでいく道を整える＝「Aへの準備をする」という意味になる。
&lt;div class="sample_image 2026_909"&gt;&lt;/div&gt;&lt;/span&gt;</t>
    <phoneticPr fontId="1"/>
  </si>
  <si>
    <t>&lt;span class="w"&gt;&lt;b&gt;【914.follow suit：先例に従う, 人のまねをする】&lt;/b&gt;&lt;/span&gt;
&lt;span class="ml"&gt;&lt;span class="explanation_tag"&gt;語源&lt;/span&gt;
名詞suitは、ラテン語sequi（付き従う, 追う）に由来し、1300年頃の中英語では、ある人に付き従う人たちの一団や、そのような人々が着るお揃いの衣服を意味した&lt;span class="obsolete"&gt;（これが現在の「スーツ」の由来）&lt;/span&gt;。
&lt;span class="spacer"&gt;&lt;/span&gt;お揃いの服という概念から発展して、14世紀後期には「同じ素材, 布地」、1520年代からは「トランプの組・スート」（スペード・ダイヤ・クラブ・ハート）という意味になった。
&lt;span class="spacer"&gt;&lt;/span&gt;［follow suit］は、1670年代に見られ、トランプカードの遊びにおいて、最初に出されたカードと同じスートのカードを出す、ということを表した。そこから比喩的に、前の人と同じ行動をする＝「先例に従う, 人のまねをする」という意味になった。
&lt;div class="sample_image 2026_914"&gt;&lt;/div&gt;&lt;/span&gt;</t>
    <phoneticPr fontId="1"/>
  </si>
  <si>
    <t>&lt;span class="w"&gt;&lt;b&gt;【917.get / have the better of ~：〜に勝つ, 〜を出し抜く】&lt;/b&gt;&lt;/span&gt;
&lt;span class="ml"&gt;&lt;span class="explanation_tag"&gt;語源&lt;/span&gt;
名詞betterは、12世紀後期から「より良いもの」という意味で使われている。そして、ここで使われているthe betterは、1650年代から見られ、優劣においてより良い方＝「優位, 優勢」を意味する。
&lt;span class="spacer"&gt;&lt;/span&gt;［S get / have the better of A］は直訳すると、Sが、Aの（of A）優位なポジション（the better）を手に入れる・持つ（get / have）となる。
&lt;span class="spacer"&gt;&lt;/span&gt;つまり、Sが優位に立ち、Aが劣勢になることから、「Aに勝つ, Aを出し抜く」という意味になる。
&lt;div class="sample_image 2026_917"&gt;&lt;/div&gt;&lt;/span&gt;</t>
    <phoneticPr fontId="1"/>
  </si>
  <si>
    <t>&lt;span class="w"&gt;&lt;b&gt;【918.get / be even with ~：（人）に仕返しをする / 〜とおあいこである】&lt;/b&gt;&lt;/span&gt;
&lt;span class="ml"&gt;&lt;span class="explanation_tag"&gt;イメージ&lt;/span&gt;
このevenは、「対等, 等しい状態」を意味する。even numberが「偶数」となるのは、2で割切れて均等な状態になるから。
&lt;span class="spacer"&gt;&lt;/span&gt;［get even with A］は直訳すると、「Aと対等な状態にする」。自分が損害を受けているときに、相手と対等な状態にすることから、「Aに仕返しをする」という意味になる。
&lt;span class="spacer"&gt;&lt;/span&gt;［be even with A］は、be動詞が状態を表すので、相手との差がない状態＝「Aとおあいこである」という意味になる。
&lt;div class="sample_image 2026_918"&gt;&lt;/div&gt;&lt;/span&gt;</t>
    <phoneticPr fontId="1"/>
  </si>
  <si>
    <t>&lt;span class="w"&gt;&lt;b&gt;【929.a host of ~：多数の〜】&lt;/b&gt;&lt;/span&gt;
&lt;span class="ml"&gt;&lt;span class="explanation_tag"&gt;語源&lt;/span&gt;
ここで出てくるhostと、ホストファミリーのhost（もてなす側）は、語源的に関連はするが、少し違いがある。
&lt;span class="spacer"&gt;&lt;/span&gt;どちらも印欧祖語*ghos-ti-（よそ者, 客, 主人）にさかのぼる。この印欧祖語は、①もてなす側の主人、②外部からくる客（主人にとって友好的）、③外部からくる敵（友好的ではない）という3つの意味を持つ。
&lt;span class="spacer"&gt;&lt;/span&gt;ホストファミリーのhostは、印欧祖語*ghos-ti-に、*poti-（力がある, 主人）が付き、ラテン語hospes（客, 客をもてなす主人）へと派生し、英語ではもてなす側に限定されて「主人」という意味になった。
&lt;span class="obsolete"&gt;このhostは、hospitalと同じラテン語や印欧祖語にさかのぼる。&lt;/span&gt;
&lt;span class="spacer"&gt;&lt;/span&gt;一方で、［a host of］のhostは、印欧祖語*ghos-ti-からそのままラテン語hostis（よそ者, 敵）&lt;span class="arrow"&gt;→&lt;/span&gt;古フランス語host（敵を倒すために集まった軍隊）という意味へ派生していった。
&lt;span class="spacer"&gt;&lt;/span&gt;そして英語では、軍事的ではなく「人々の集まり」という意味になり、さらに人がたくさん集まることから、「多数, 大群」という意味になった。
&lt;span class="obsolete"&gt;「多数」を意味するhostは、hostile（敵意のある）と同じラテン語や印欧祖語にさかのぼる。&lt;/span&gt;
&lt;span class="spacer"&gt;&lt;/span&gt;&lt;span class="explanation_tag"&gt;イメージ&lt;/span&gt;
hostは、語源的は①主人、②客、③敵の3つの意味があった。このhostは、敵を倒すために集まった大勢から「多数」という意味になった。
&lt;span class="spacer"&gt;&lt;/span&gt;そこから［a host of A］は、「多数のA」という意味になる。
&lt;span class="spacer"&gt;&lt;/span&gt;&lt;span class="explanation_tag"&gt;補足&lt;/span&gt;
語源的に、（数えられる）人が集まった全体を意味していたので、Aには可算名詞の複数形が入る。
&lt;div class="sample_image 2026_929"&gt;&lt;/div&gt;&lt;/span&gt;</t>
    <phoneticPr fontId="1"/>
  </si>
  <si>
    <t>&lt;span class="w"&gt;&lt;b&gt;【931.many a / an 単数名詞：たくさんの〜】&lt;/b&gt;&lt;/span&gt;
&lt;span class="ml"&gt;&lt;span class="explanation_tag"&gt;イメージ&lt;/span&gt;
［many a / an A（単数名詞）］は、1つ・1人のAに視点を向けて、それがたくさん集まっていることを表して、「たくさんの〜」という意味になる。
&lt;span class="spacer"&gt;&lt;/span&gt;【A】【A】【A】… というように、【A】がいくつも集まって、「たくさんのA」というイメージ。
&lt;span class="spacer"&gt;&lt;/span&gt;［many 複数名詞］は、複数の物や人をまとめて見ている感じ。
&lt;span class="spacer"&gt;&lt;/span&gt;【A A A …】というように、複数のAを見て、「たくさんのA」というイメージ。
&lt;span class="spacer"&gt;&lt;/span&gt;&lt;span class="explanation_tag"&gt;補足&lt;/span&gt;
［many a / an 単数名詞］と［many 複数名詞］の違いは、everyとallの違いと似ている。everyは一つひとつに目を向けて「全ての」となるが、allは全体をまとめて「全ての」となる。
&lt;div class="sample_image 2026_931"&gt;&lt;/div&gt;&lt;/span&gt;</t>
    <phoneticPr fontId="1"/>
  </si>
  <si>
    <t>&lt;span class="w"&gt;&lt;b&gt;【938.(enough) 名詞 to go around：全員に行き渡るだけの〈名詞〉】&lt;/b&gt;&lt;/span&gt;
&lt;span class="ml"&gt;&lt;span class="explanation_tag"&gt;イメージ&lt;/span&gt;
［go around］は、一周ぐるっとまわることを表す。これがto不定詞の形容詞的用法で［enough 名詞］を説明するので、「一周ぐるっとまわるくらい十分な〈名詞〉」となる。
&lt;span class="spacer"&gt;&lt;/span&gt;これは、丸いテーブルの周りに数人が座っていて、その全員にぐるっと〈名詞〉が行くイメージをすればよい。そこから、「全員に行き渡るだけの〈名詞〉」という意味になる。
&lt;div class="sample_image 2026_938"&gt;&lt;/div&gt;&lt;/span&gt;</t>
    <phoneticPr fontId="1"/>
  </si>
  <si>
    <t>&lt;span class="w"&gt;&lt;b&gt;【939.every other 名詞単数形：①ひとつおきの〜, ②（ある一つを除いた）残りすべての〜】&lt;/b&gt;&lt;/span&gt;
&lt;span class="ml"&gt;&lt;span class="explanation_tag"&gt;語源&lt;/span&gt;
otherは、印欧祖語*al-（向こう側に）と、比較級を作る*tero-が合わさってできた語にさかのぼる。印欧祖語*al-tero-は「2つのうちもう一方」ということを表す。
&lt;span class="spacer"&gt;&lt;/span&gt;この印欧祖語は、やがて古英語oþer（現other）となり、「2つのうち一方」という意味から「第2の, 2つのうち2番目の」という意味になった。つまり、&lt;strong&gt;otherはもともと「2番目の」という意味だった&lt;/strong&gt;。
&lt;span class="spacer"&gt;&lt;/span&gt;しかしその後、この意味はsecondが使われるようになり、otherは「他の」という意味で使われるようになった。
&lt;span class="spacer"&gt;&lt;/span&gt;「他の」という意味も、印欧祖語*al-（向こう側に）と、*tero-（比較級）にもとづいている。こちら側ではなく向こう側ということから、こちらではなく「他の」という意味になる。
&lt;span class="spacer"&gt;&lt;/span&gt;&lt;span class="explanation_tag"&gt;イメージ&lt;/span&gt;
［every other A］は、古英語oþerの意味を保った①の意味と、現代英語other通りの②の意味がある。
&lt;span class="spacer"&gt;&lt;/span&gt;①は、いまのsecondと同じ「2番目」という古い意味をもとに直訳すると、「2番目ごとのA」となる。
［⚪️⚫️⚪️⚫️⚪️⚫️⚪️⚫️…］という連続において、2番目ごとに出てくる⚫️を指すことから、「ひとつおきのA」という意味になる。
&lt;span class="spacer"&gt;&lt;/span&gt;②は直訳すると、「（何かの）他のすべてのA」となる。つまり、何かを除いて残ったものすべてを指すので、「残りすべてのA」という意味になる。
&lt;div class="sample_image 2026_939"&gt;&lt;/div&gt;&lt;/span&gt;</t>
    <phoneticPr fontId="1"/>
  </si>
  <si>
    <t>&lt;span class="w"&gt;&lt;b&gt;【944.in the works：準備中で, 計画中で, 進行中で】&lt;/b&gt;&lt;/span&gt;
&lt;span class="ml"&gt;&lt;span class="explanation_tag"&gt;語源&lt;/span&gt;
worksは、中英語期に「ある人の行為, 業績」といった意味で使われ始め、14世紀後期には「大規模な施設の維持に関わる業務」、15世紀後期には「工場, 作業場」という意味で使われるようになった。
&lt;span class="spacer"&gt;&lt;/span&gt;［be in the works］は、1973年までに「制作中で, 進行中で」という意味で使われるようになった。
&lt;span class="spacer"&gt;&lt;/span&gt;&lt;span class="explanation_tag"&gt;イメージ&lt;/span&gt;
［in the works］のworksは、「工場, 作業場」という意味。工場の中で機械が作動し、人々が働いて何かが作られている真っ最中であるように、プロジェクトや計画、新しいアイデアなどが「準備中で, 計画中で, 進行中で」という意味になる。
&lt;div class="sample_image 2026_944"&gt;&lt;/div&gt;&lt;/span&gt;</t>
    <phoneticPr fontId="1"/>
  </si>
  <si>
    <t>&lt;span class="w"&gt;&lt;b&gt;【945.nothing short of ~：まさしく～】&lt;/b&gt;&lt;/span&gt;
&lt;span class="ml"&gt;&lt;span class="explanation_tag"&gt;語源&lt;/span&gt;
ofは、古英語æf（離れて）にさかのぼる。もともとofの主要な意味は「離れて」だったが、1200年頃までにoffが生まれて、その「離れて」という意味を引き継いだ。
&lt;span class="spacer"&gt;&lt;/span&gt;&lt;span class="explanation_tag"&gt;イメージ&lt;/span&gt;
［nothing short of A］は直訳すると、物理的にAから距離が離れて（of A）足りない部分（short）が何もない（nothing）となる。
&lt;span class="spacer"&gt;&lt;/span&gt;つまり、Aからまったく離れておらず、Aにピッタリくっついている状態を表して、「まさしくA」という意味になる。
&lt;span class="spacer"&gt;&lt;/span&gt;&lt;span class="explanation_tag"&gt;関連語&lt;/span&gt;
［907.fall short of ~：（目標・基準など）〜に達しない］
&lt;div class="sample_image 2026_945"&gt;&lt;/div&gt;&lt;/span&gt;</t>
    <phoneticPr fontId="1"/>
  </si>
  <si>
    <t>&lt;span class="w"&gt;&lt;b&gt;【960.in the wake of ~：〜の通過後に, 〜の結果として】&lt;/b&gt;&lt;/span&gt;
&lt;span class="ml"&gt;&lt;span class="explanation_tag"&gt;語源&lt;/span&gt;
wakeは、1540年代に「船が通った後に残る白く泡だった波の跡」を意味する語として使われ始めた。
&lt;span class="spacer"&gt;&lt;/span&gt;［in the wake of A］は、1822年までに確認され、船が通った後に残る波の跡から比喩的に、Aが通った後やAが起きた後に残るものを表して、「Aの通過後に」や「Aの結果として」という意味になる。
&lt;div class="sample_image 2026_960"&gt;&lt;/div&gt;&lt;/span&gt;</t>
    <phoneticPr fontId="1"/>
  </si>
  <si>
    <t>&lt;span class="w"&gt;&lt;b&gt;【973.all too：①とても, 非常に, ②残念ながら】&lt;/b&gt;&lt;/span&gt;
&lt;span class="ml"&gt;&lt;span class="explanation_tag"&gt;イメージ&lt;/span&gt;
［all too］は、too（〜すぎる, とても〜）という程度表現に対して強調のallが付け足されて、①「とても, 非常に」という意味になる。
&lt;span class="spacer"&gt;&lt;/span&gt;また強調というのは、話者の気持ちが強く入ることで生まれる表現なので、話者が持つ「あまりにも〜すぎる」という&lt;strong&gt;残念感・望んでいない感&lt;/strong&gt;が含まれて、②「残念ながら」という意味になる。
&lt;span class="spacer"&gt;&lt;/span&gt;&lt;span class="explanation_tag"&gt;関連語&lt;/span&gt;
［996.only too］はポジティブな「とても, 非常に」とネガティブな「残念ながら」どちらも使う。
all tooはネガティブなニュアンスが強い。
&lt;div class="sample_image 2026_973"&gt;&lt;/div&gt;&lt;/span&gt;</t>
    <phoneticPr fontId="1"/>
  </si>
  <si>
    <t>&lt;span class="w"&gt;&lt;b&gt;【979.by and large：概して, 全体的に見て】&lt;/b&gt;&lt;/span&gt;
&lt;span class="ml"&gt;&lt;span class="explanation_tag"&gt;語源&lt;/span&gt;
［by and large］はもともと航海用語だった。
&lt;span class="spacer"&gt;&lt;/span&gt;byは、船頭に吹きつける風が、帆にあたって帆の横側を流れていくことから、逆風に向かって進むことを表した。
&lt;span class="spacer"&gt;&lt;/span&gt;largeは、large windが「追い風」を表し、追い風が帆を膨らませて大きくすることから、追い風に乗って進むことを表した。
&lt;span class="spacer"&gt;&lt;/span&gt;［by and large］は、船で風の吹く方向へ進んだり（by）、追い風に乗って進んだり（large）して、海のあちこちを進むことから、全体やあらゆる面を表すようになり、「概して, 全体的に見て」という意味になった。
&lt;div class="sample_image 2026_979"&gt;&lt;/div&gt;&lt;/span&gt;</t>
    <phoneticPr fontId="1"/>
  </si>
  <si>
    <t>&lt;span class="w"&gt;&lt;b&gt;【989.more often than not：普通は, たいてい】&lt;/b&gt;&lt;/span&gt;
&lt;span class="ml"&gt;&lt;span class="explanation_tag"&gt;イメージ&lt;/span&gt;
［more often than not］は、notよりも頻度が多いことを表す。
&lt;span class="spacer"&gt;&lt;/span&gt;これは、じゃんけんを10回したときの勝ちの回数を例にすると、not（負け）よりも勝ちの方が多いことを表すので、「たいてい, 普通」勝つという意味になる。
&lt;span class="spacer"&gt;&lt;/span&gt;つまり、否定よりも肯定の回数の方が多いということを表す。
&lt;span class="spacer"&gt;&lt;/span&gt;&lt;span class="explanation_tag"&gt;例&lt;/span&gt;
More often than not, he drinks coffee in the morning.
not（飲まない）より飲む方が多い
＝「たいてい朝にコーヒーを飲む」
&lt;span class="spacer"&gt;&lt;/span&gt;More often than not, he doesn't drink coffee in the morning.
not（飲む）よりも飲まない方が多い
＝「たいてい朝にコーヒーを飲まない」
&lt;div class="sample_image 2026_989"&gt;&lt;/div&gt;&lt;/span&gt;</t>
    <phoneticPr fontId="1"/>
  </si>
  <si>
    <t>&lt;span class="w"&gt;&lt;b&gt;【992.on the spot：①その場で, ②即座に, ③窮地に立って（困った状況に立って）】&lt;/b&gt;&lt;/span&gt;
&lt;span class="ml"&gt;&lt;span class="explanation_tag"&gt;語源&lt;/span&gt;
［on the spot］は1670年代までに見られ、まずは直訳の通り、そのスポット（場所）の上で＝①「その場で」という意味で使われた。
&lt;span class="spacer"&gt;&lt;/span&gt;またその意味と共に、決断や行動において、一旦持ち帰って考えたり、後回しにしたりせず、その場ですぐに何かを行う・何かが起きることから、②「即座に」という意味でも使われた。
&lt;span class="spacer"&gt;&lt;/span&gt;1928年からは、［put 人 on the spot］で、「人を困った状況に置く」という意味で使われている。これは、誰かを逃げ場のない、その場ですぐに対応しなければならない状況に置くイメージ。
&lt;span class="spacer"&gt;&lt;/span&gt;例えば、記者会見で言い逃れできない状況（the spot）に置くことを想像すれば、相手が困った状況に立たされていることをイメージしやすい。
&lt;span class="spacer"&gt;&lt;/span&gt;そこから、［on the spot］が「窮地に立って」という困った状況にいることを表すようになった。
&lt;div class="sample_image 2026_992"&gt;&lt;/div&gt;&lt;/span&gt;</t>
    <phoneticPr fontId="1"/>
  </si>
  <si>
    <t>&lt;span class="w"&gt;&lt;b&gt;【996.only too：①とても, 非常に, ②残念ながら】&lt;/b&gt;&lt;/span&gt;
&lt;span class="ml"&gt;&lt;span class="explanation_tag"&gt;イメージ&lt;/span&gt;
［only too］は、too（〜すぎる, とても〜）という程度表現に対して強調のonlyが付け足されて、①「とても, 非常に」という意味になる。
&lt;span class="spacer"&gt;&lt;/span&gt;また強調というのは、話者の気持ちが強く入ることで生まれる表現なので、話者が持つ「あまりにも〜すぎる」という&lt;strong&gt;残念感・望んでいない感&lt;/strong&gt;が含まれて、②「残念ながら」という意味になる。
&lt;span class="spacer"&gt;&lt;/span&gt;&lt;span class="explanation_tag"&gt;関連語&lt;/span&gt;
［973.all too］はネガティブなニュアンスが強い。
&lt;div class="sample_image 2026_996"&gt;&lt;/div&gt;&lt;/span&gt;</t>
    <phoneticPr fontId="1"/>
  </si>
  <si>
    <t>&lt;span class="w"&gt;&lt;b&gt;【997.sort / kind of：ちょっと, なんとなく】&lt;/b&gt;&lt;/span&gt;
&lt;span class="ml"&gt;&lt;span class="explanation_tag"&gt;イメージ&lt;/span&gt;
［sort / kind of］は、［a sort / kind of A］と関連させて理解する。
&lt;span class="spacer"&gt;&lt;/span&gt;［S is a sort / kind of A］は「SはAの一種」という意味になる。これは、「Sは〜である」というような、Sが何であるかを断言する表現ではなく、Aというカテゴリの中にある一つの種類（a sort / kind）だ、という&lt;strong&gt;曖昧さ&lt;/strong&gt;のある表現となっている。
&lt;span class="spacer"&gt;&lt;/span&gt;このはっきり断言せず、曖昧な［a sort / kind of A］という名詞句から、不定冠詞のaと名詞Aが消えれば、副詞として機能する［sort / kind of］になる。
&lt;span class="spacer"&gt;&lt;/span&gt;［sort / kind of］は、これが修飾する部分を、「ちょっと, なんとなく」というように曖昧にする働きを持つ。
&lt;div class="sample_image 2026_997"&gt;&lt;/div&gt;&lt;/span&gt;</t>
    <phoneticPr fontId="1"/>
  </si>
  <si>
    <t>&lt;span class="w"&gt;&lt;b&gt;【999.the other way around / round / about：逆に, あべこべに】&lt;/b&gt;&lt;/span&gt;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語源で見た通り、aboutはもともと「周囲」を表し、around / roundも同様に「周囲」を表す。
&lt;span class="spacer"&gt;&lt;/span&gt;［the other way around / round / about］は、グルッとひっくり返って（around / round / about）本来とは違うもう一つの方（the other way）を向いているイメージ。
&lt;span class="spacer"&gt;&lt;/span&gt;そこから、物理的な向き・順序・考えなどが「逆に, あべこべに」なっていることを意味する。
&lt;span class="spacer"&gt;&lt;/span&gt;&lt;span class="explanation_tag"&gt;例&lt;/span&gt;
You put your shirt on &lt;strong&gt;the other way around&lt;/strong&gt;.
シャツを逆に着ている
&lt;span class="spacer"&gt;&lt;/span&gt;You are holding the map &lt;strong&gt;the other way around&lt;/strong&gt;.
地図を逆に持っている
&lt;span class="spacer"&gt;&lt;/span&gt;I thought he was older than her, but it is &lt;strong&gt;the other way around&lt;/strong&gt;.
彼が彼女より年上だと思っていたが、逆だった
&lt;span class="spacer"&gt;&lt;/span&gt;A: Do you hate him?
B: No, it is the other way around.
A：彼を憎んでいるんですか
B：いいえ、逆です
（好きor彼が私を憎んでいる）
&lt;div class="sample_image 2026_999"&gt;&lt;/div&gt;&lt;/span&gt;</t>
    <phoneticPr fontId="1"/>
  </si>
  <si>
    <t>&lt;span class="w"&gt;&lt;b&gt;【984.for nothing：①無料で, ②無駄に】&lt;/b&gt;&lt;/span&gt;
&lt;span class="ml"&gt;&lt;span class="explanation_tag"&gt;イメージ&lt;/span&gt;
［for nothing］のforは「〜のために」と「〜と交換に」という意味で考えればよい。
&lt;span class="spacer"&gt;&lt;/span&gt;①何かのためにするわけではなく、何も求めないことから「無料で」という意味になる。
&lt;span class="spacer"&gt;&lt;/span&gt;②何かを行った結果、nothingと交換になり、何も得られないことから「無駄に」という意味になる。&lt;/span&gt;</t>
    <phoneticPr fontId="1"/>
  </si>
  <si>
    <t>&lt;span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t>
    <rPh sb="261" eb="263">
      <t>セイフク</t>
    </rPh>
    <phoneticPr fontId="1"/>
  </si>
  <si>
    <t>日本語でも使われるブランク（空白, 空欄）と関連させて覚える。</t>
    <phoneticPr fontId="1"/>
  </si>
  <si>
    <t>&lt;span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t>
    <phoneticPr fontId="1"/>
  </si>
  <si>
    <t>&lt;span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t>
    <rPh sb="326" eb="328">
      <t>セイコウ</t>
    </rPh>
    <phoneticPr fontId="1"/>
  </si>
  <si>
    <t>&lt;span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t>
    <phoneticPr fontId="1"/>
  </si>
  <si>
    <t>&lt;span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t>
    <phoneticPr fontId="1"/>
  </si>
  <si>
    <t>&lt;span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t>
    <phoneticPr fontId="1"/>
  </si>
  <si>
    <t>&lt;span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t>
    <phoneticPr fontId="1"/>
  </si>
  <si>
    <t>&lt;span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t>
    <phoneticPr fontId="1"/>
  </si>
  <si>
    <t>&lt;span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t>
    <phoneticPr fontId="1"/>
  </si>
  <si>
    <t>&lt;span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t>
    <phoneticPr fontId="1"/>
  </si>
  <si>
    <t>&lt;span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t>
    <phoneticPr fontId="1"/>
  </si>
  <si>
    <t>&lt;span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t>
    <phoneticPr fontId="1"/>
  </si>
  <si>
    <t>&lt;span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t>
  </si>
  <si>
    <t>&lt;span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t>
    <phoneticPr fontId="1"/>
  </si>
  <si>
    <t>mille部分は、ミリメートル（millimeter）のミリ（1000もしくは1000分の1）と同じ。またケーキのミルフィーユ（&lt;strong&gt;mille&lt;/strong&gt;feuille）は、直訳すると「&lt;strong&gt;千&lt;/strong&gt;枚の葉」という意味。
&lt;span class="spacer"&gt;&lt;/span&gt;nnium部分は、アニバーサリー（anniversary）のアニ（年）と同じ。
&lt;span class="spacer"&gt;&lt;/span&gt;この2つを合わせて1000年となる。</t>
    <rPh sb="96" eb="98">
      <t>チョクヤク</t>
    </rPh>
    <rPh sb="122" eb="123">
      <t>ハ</t>
    </rPh>
    <rPh sb="127" eb="129">
      <t>イミ</t>
    </rPh>
    <phoneticPr fontId="1"/>
  </si>
  <si>
    <t>&lt;span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t>
    <rPh sb="97" eb="101">
      <t>カコブンシ</t>
    </rPh>
    <rPh sb="116" eb="118">
      <t>ユライ</t>
    </rPh>
    <rPh sb="140" eb="141">
      <t>オナ</t>
    </rPh>
    <rPh sb="142" eb="144">
      <t>ゴゲン</t>
    </rPh>
    <rPh sb="177" eb="178">
      <t>ゴ</t>
    </rPh>
    <rPh sb="189" eb="190">
      <t>オ</t>
    </rPh>
    <rPh sb="198" eb="200">
      <t>イミ</t>
    </rPh>
    <rPh sb="206" eb="208">
      <t>ショクタク</t>
    </rPh>
    <rPh sb="209" eb="210">
      <t>オ</t>
    </rPh>
    <rPh sb="225" eb="226">
      <t>アツ</t>
    </rPh>
    <rPh sb="229" eb="231">
      <t>ショクジ</t>
    </rPh>
    <rPh sb="234" eb="236">
      <t>ヒトビト</t>
    </rPh>
    <rPh sb="239" eb="240">
      <t>ヒト</t>
    </rPh>
    <rPh sb="243" eb="244">
      <t>ノコ</t>
    </rPh>
    <rPh sb="246" eb="247">
      <t>タ</t>
    </rPh>
    <rPh sb="248" eb="249">
      <t>モノ</t>
    </rPh>
    <rPh sb="254" eb="255">
      <t>アツ</t>
    </rPh>
    <rPh sb="263" eb="264">
      <t>マ</t>
    </rPh>
    <rPh sb="266" eb="268">
      <t>ザンパン</t>
    </rPh>
    <rPh sb="271" eb="273">
      <t>イミ</t>
    </rPh>
    <rPh sb="274" eb="276">
      <t>ハッテン</t>
    </rPh>
    <rPh sb="310" eb="312">
      <t>ザンパン</t>
    </rPh>
    <rPh sb="324" eb="326">
      <t>ヘヤ</t>
    </rPh>
    <rPh sb="330" eb="331">
      <t>チ</t>
    </rPh>
    <rPh sb="335" eb="337">
      <t>ジョウタイ</t>
    </rPh>
    <rPh sb="341" eb="343">
      <t>イミ</t>
    </rPh>
    <rPh sb="355" eb="357">
      <t>ジタイ</t>
    </rPh>
    <rPh sb="374" eb="376">
      <t>イミ</t>
    </rPh>
    <phoneticPr fontId="1"/>
  </si>
  <si>
    <t>&lt;span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t>
  </si>
  <si>
    <t>includeは「中に閉じ込める＝含む」というイメージ。clude部分は動詞close（閉じる）と同じ語源にさかのぼる。</t>
    <phoneticPr fontId="1"/>
  </si>
  <si>
    <t>&lt;span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t>
    <phoneticPr fontId="1"/>
  </si>
  <si>
    <t>【variety：多様性】</t>
  </si>
  <si>
    <t>&lt;span class="w"&gt;&lt;b&gt;【110.claim：～を主張する, （自分のものとして）要求する】&lt;/b&gt;&lt;/span&gt;
&lt;span class="ml"&gt;ラテン語clamare（叫ぶ）に由来する。
&lt;span class="spacer"&gt;&lt;/span&gt;自分の言いたいことを叫ぶというところから「主張する, 自分のものとして要求する」という意味になる。
&lt;span class="spacer"&gt;&lt;/span&gt;ビックリマーク（！）を英語ではexclamation markと呼ぶが、exclamationの動詞形はexclaim（外に叫ぶ）である。ここからclaimがもともと持っていた「叫ぶ」というイメージがわかる。&lt;/span&gt;</t>
  </si>
  <si>
    <t>&lt;span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t>
  </si>
  <si>
    <t>&lt;span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t>
  </si>
  <si>
    <t>&lt;span class="w"&gt;&lt;b&gt;【556.stereotype：固定観念】&lt;/b&gt;&lt;/span&gt;
&lt;span class="ml"&gt;フランス語に由来する語で、以下のギリシャ語とフランス語の2つの要素から成る。
ギリシャ語stereos（固体の）
フランス語type（活字）
&lt;span class="spacer"&gt;&lt;/span&gt;この語はもともと活版印刷に関するものだった。当初の活版印刷は、一文字ずつバラバラの活字（金属のハンコ）を1ページ分並べて印刷していた。しかしこれでは、再び同じページを刷りたいときに、再度全ての活字を並べなければならず、非常に手間がかかった。
&lt;span class="spacer"&gt;&lt;/span&gt;そこで、1ページ分並べた活字から型を取り、大きな一枚の鉛版を作る技術が発明された。このひとつに固まった（stereos）活字（type）が、もともとのstereotypeである。
&lt;span class="spacer"&gt;&lt;/span&gt;できあがった活字版は変化することなく、何度も同じページを印刷できる。ここから比喩的に、何かに対していつも同じ見方や考え方をすること、すなわち「固定観念」という意味で使われるようになった。
&lt;div class="sample_image stereotype"&gt;&lt;/div&gt;&lt;/span&gt;</t>
  </si>
  <si>
    <t>&lt;span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t>
  </si>
  <si>
    <t>&lt;span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t>
  </si>
  <si>
    <t>&lt;span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
&lt;span class="spacer"&gt;&lt;/span&gt;imate部分は、ultimate（究極の）でも使われている。ultimateは、ラテン語ulter（超える）に最上級imusが付いて、最も超えていることから「究極の」という意味になる。&lt;/span&gt;</t>
  </si>
  <si>
    <t>&lt;span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t>
    <phoneticPr fontId="1"/>
  </si>
  <si>
    <t>=INDEX($L:$L, MATCH("justice", $B:$B, 0))</t>
  </si>
  <si>
    <t>=INDEX($L:$L, MATCH("jury", $B:$B, 0))</t>
  </si>
  <si>
    <t>&lt;span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文章の特定の箇所から正確に言葉を抜き出すことを指すようになり、ある言葉を「引用する」という意味になった。&lt;/span&gt;</t>
  </si>
  <si>
    <t>&lt;span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t>
  </si>
  <si>
    <t>&lt;span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t>
  </si>
  <si>
    <t>&lt;span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ミステリ小説などで使われる「アリバイ」という言葉は、ラテン語aliusが、場所を意味する形になったalibi（他の場所）に由来する。事件当時に他の場所にいたことを示すことから、alibiという語が使われるようになった。&lt;/span&gt;</t>
  </si>
  <si>
    <t>&lt;span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class="spacer"&gt;&lt;/span&gt;議論において助けとなる情報は、その事柄に直接関係している情報なので、現代英語の「関係のある,（当面の問題に対して）適切な」という意味になった。&lt;/span&gt;</t>
  </si>
  <si>
    <t>&lt;span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class="spacer"&gt;&lt;/span&gt;また感覚や認識で見えたものが、本当に見えた通りであるとは限らない。ここから「一見〜らしい」という意味になる。&lt;/span&gt;</t>
  </si>
  <si>
    <t>&lt;span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class="spacer"&gt;&lt;/span&gt;このまま日本語にすると「より下の」となる。物理的に基準よりも下に位置することから比喩的に、質・能力・立場などが「より劣った」という意味になる。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t>
  </si>
  <si>
    <t>&lt;span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切る）からは、decide（決断する）・precise（正確な）・concise（簡潔な）も生まれている。いずれも「切る」が核となっている。
&lt;span class="spacer"&gt;&lt;/span&gt;suicideは、self（自身を）＋cide（切る, 殺す）と考えればよい。&lt;/span&gt;</t>
  </si>
  <si>
    <t>&lt;div class="related_image"&gt;&lt;img src="./related_images/clude.png"&gt;&lt;/img&gt;&lt;/div&gt;</t>
  </si>
  <si>
    <t>&lt;div class="related_image"&gt;&lt;img src="./related_images/ducere.png"&gt;&lt;/img&gt;&lt;/div&gt;</t>
  </si>
  <si>
    <t>&lt;div class="related_image"&gt;&lt;img src="./related_images/cise_cide.png"&gt;&lt;/img&gt;&lt;/div&gt;</t>
  </si>
  <si>
    <t>&lt;div class="related_image"&gt;&lt;img src="./related_images/fer.png"&gt;&lt;/img&gt;&lt;/div&gt;</t>
  </si>
  <si>
    <t>&lt;div class="related_image"&gt;&lt;img src="./related_images/quire_quest.png"&gt;&lt;/img&gt;&lt;/div&gt;</t>
  </si>
  <si>
    <t>&lt;div class="related_image"&gt;&lt;img src="./related_images/tend_tense.png"&gt;&lt;/img&gt;&lt;/div&gt;</t>
  </si>
  <si>
    <t>&lt;div class="related_image"&gt;&lt;img src="./related_images/cernere.png"&gt;&lt;/img&gt;&lt;/div&gt;</t>
  </si>
  <si>
    <t>&lt;div class="related_image"&gt;&lt;img src="./related_images/script_scribe.png"&gt;&lt;/img&gt;&lt;/div&gt;</t>
  </si>
  <si>
    <t>&lt;div class="related_image"&gt;&lt;img src="./related_images/volve.png"&gt;&lt;/img&gt;&lt;/div&gt;</t>
  </si>
  <si>
    <t>&lt;div class="related_image"&gt;&lt;img src="./related_images/sign.png"&gt;&lt;/img&gt;&lt;/div&gt;</t>
  </si>
  <si>
    <t>&lt;div class="related_image"&gt;&lt;img src="./related_images/force.png"&gt;&lt;/img&gt;&lt;/div&gt;</t>
  </si>
  <si>
    <t>&lt;div class="related_image"&gt;&lt;img src="./related_images/fect_ficient.png"&gt;&lt;/img&gt;&lt;/div&gt;</t>
  </si>
  <si>
    <t>&lt;div class="related_image"&gt;&lt;img src="./related_images/late.png"&gt;&lt;/img&gt;&lt;/div&gt;</t>
  </si>
  <si>
    <t>&lt;div class="related_image"&gt;&lt;img src="./related_images/cor.png"&gt;&lt;/img&gt;&lt;/div&gt;</t>
  </si>
  <si>
    <t>&lt;div class="related_image"&gt;&lt;img src="./related_images/sist.png"&gt;&lt;/img&gt;&lt;/div&gt;</t>
  </si>
  <si>
    <t>&lt;div class="related_image"&gt;&lt;img src="./related_images/pend.png"&gt;&lt;/img&gt;&lt;/div&gt;</t>
  </si>
  <si>
    <t>&lt;div class="related_image"&gt;&lt;img src="./related_images/ject.png"&gt;&lt;/img&gt;&lt;/div&gt;</t>
  </si>
  <si>
    <t>&lt;div class="related_image"&gt;&lt;img src="./related_images/fundus.png"&gt;&lt;/img&gt;&lt;/div&gt;</t>
  </si>
  <si>
    <t>&lt;div class="related_image"&gt;&lt;img src="./related_images/ple.png"&gt;&lt;/img&gt;&lt;/div&gt;</t>
  </si>
  <si>
    <t>&lt;div class="related_image"&gt;&lt;img src="./related_images/reri.png"&gt;&lt;/img&gt;&lt;/div&gt;</t>
  </si>
  <si>
    <t>&lt;div class="related_image"&gt;&lt;img src="./related_images/flu.png"&gt;&lt;/img&gt;&lt;/div&gt;</t>
  </si>
  <si>
    <t>&lt;div class="related_image"&gt;&lt;img src="./related_images/videre.png"&gt;&lt;/img&gt;&lt;/div&gt;</t>
  </si>
  <si>
    <t>&lt;div class="related_image"&gt;&lt;img src="./related_images/valere.png"&gt;&lt;/img&gt;&lt;/div&gt;</t>
  </si>
  <si>
    <t>&lt;div class="related_image"&gt;&lt;img src="./related_images/specere.png"&gt;&lt;/img&gt;&lt;/div&gt;</t>
  </si>
  <si>
    <t>&lt;div class="related_image"&gt;&lt;img src="./related_images/gno.png"&gt;&lt;/img&gt;&lt;/div&gt;</t>
  </si>
  <si>
    <t>&lt;div class="related_image"&gt;&lt;img src="./related_images/ire.png"&gt;&lt;/img&gt;&lt;/div&gt;</t>
  </si>
  <si>
    <t>&lt;div class="related_image"&gt;&lt;img src="./related_images/cle.png"&gt;&lt;/img&gt;&lt;/div&gt;</t>
  </si>
  <si>
    <t>&lt;div class="related_image"&gt;&lt;img src="./related_images/terminus.png"&gt;&lt;/img&gt;&lt;/div&gt;</t>
  </si>
  <si>
    <t>&lt;div class="related_image"&gt;&lt;img src="./related_images/regere.png"&gt;&lt;/img&gt;&lt;/div&gt;</t>
  </si>
  <si>
    <t>&lt;div class="related_image"&gt;&lt;img src="./related_images/munis.png"&gt;&lt;/img&gt;&lt;/div&gt;</t>
  </si>
  <si>
    <t>&lt;div class="related_image"&gt;&lt;img src="./related_images/colere.png"&gt;&lt;/img&gt;&lt;/div&gt;</t>
  </si>
  <si>
    <t>&lt;div class="related_image"&gt;&lt;img src="./related_images/sem.png"&gt;&lt;/img&gt;&lt;/div&gt;</t>
  </si>
  <si>
    <t>&lt;div class="related_image"&gt;&lt;img src="./related_images/pati.png"&gt;&lt;/img&gt;&lt;/div&gt;</t>
  </si>
  <si>
    <t>&lt;div class="related_image"&gt;&lt;img src="./related_images/valere.png"&gt;&lt;/img&gt;&lt;/div&gt;&lt;div class="related_image"&gt;&lt;img src="./related_images/able.png"&gt;&lt;/img&gt;&lt;/div&gt;</t>
  </si>
  <si>
    <t>&lt;div class="related_image"&gt;&lt;img src="./related_images/gene.png"&gt;&lt;/img&gt;&lt;/div&gt;</t>
  </si>
  <si>
    <t>&lt;div class="related_image"&gt;&lt;img src="./related_images/debere.png"&gt;&lt;/img&gt;&lt;/div&gt;</t>
  </si>
  <si>
    <t>&lt;div class="related_image"&gt;&lt;img src="./related_images/ante.png"&gt;&lt;/img&gt;&lt;/div&gt;</t>
  </si>
  <si>
    <t>&lt;div class="related_image"&gt;&lt;img src="./related_images/solvere.png"&gt;&lt;/img&gt;&lt;/div&gt;</t>
  </si>
  <si>
    <t>&lt;div class="related_image"&gt;&lt;img src="./related_images/currere_carrus.png"&gt;&lt;/img&gt;&lt;/div&gt;</t>
  </si>
  <si>
    <t>&lt;div class="related_image"&gt;&lt;img src="./related_images/press.png"&gt;&lt;/img&gt;&lt;/div&gt;</t>
  </si>
  <si>
    <t>&lt;div class="related_image"&gt;&lt;img src="./related_images/ve_ven.png"&gt;&lt;/img&gt;&lt;/div&gt;</t>
  </si>
  <si>
    <t>&lt;div class="related_image"&gt;&lt;img src="./related_images/pose.png"&gt;&lt;/img&gt;&lt;/div&gt;</t>
  </si>
  <si>
    <t>&lt;div class="related_image"&gt;&lt;img src="./related_images/trahere_tractare.png"&gt;&lt;/img&gt;&lt;/div&gt;</t>
  </si>
  <si>
    <t>&lt;div class="related_image"&gt;&lt;img src="./related_images/pl.png"&gt;&lt;/img&gt;&lt;/div&gt;</t>
  </si>
  <si>
    <t>&lt;div class="related_image"&gt;&lt;img src="./related_images/men.png"&gt;&lt;/img&gt;&lt;/div&gt;</t>
  </si>
  <si>
    <t>&lt;div class="related_image"&gt;&lt;img src="./related_images/tain.png"&gt;&lt;/img&gt;&lt;/div&gt;</t>
  </si>
  <si>
    <t>&lt;div class="related_image"&gt;&lt;img src="./related_images/tangere.png"&gt;&lt;/img&gt;&lt;/div&gt;</t>
  </si>
  <si>
    <t>&lt;div class="related_image"&gt;&lt;img src="./related_images/clin.png"&gt;&lt;/img&gt;&lt;/div&gt;</t>
  </si>
  <si>
    <t>&lt;div class="related_image"&gt;&lt;img src="./related_images/vi.png"&gt;&lt;/img&gt;&lt;/div&gt;</t>
  </si>
  <si>
    <t>&lt;div class="related_image"&gt;&lt;img src="./related_images/port.png"&gt;&lt;/img&gt;&lt;/div&gt;</t>
  </si>
  <si>
    <t>&lt;div class="related_image"&gt;&lt;img src="./related_images/str2.png"&gt;&lt;/img&gt;&lt;/div&gt;</t>
  </si>
  <si>
    <t>&lt;div class="related_image"&gt;&lt;img src="./related_images/med.png"&gt;&lt;/img&gt;&lt;/div&gt;</t>
  </si>
  <si>
    <t>&lt;div class="related_image"&gt;&lt;img src="./related_images/count_pute.png"&gt;&lt;/img&gt;&lt;/div&gt;</t>
  </si>
  <si>
    <t>&lt;div class="related_image"&gt;&lt;img src="./related_images/mod.png"&gt;&lt;/img&gt;&lt;/div&gt;</t>
  </si>
  <si>
    <t>&lt;div class="related_image"&gt;&lt;img src="./related_images/move_mot.png"&gt;&lt;/img&gt;&lt;/div&gt;</t>
  </si>
  <si>
    <t>&lt;div class="related_image"&gt;&lt;img src="./related_images/str1.png"&gt;&lt;/img&gt;&lt;/div&gt;</t>
  </si>
  <si>
    <t>&lt;div class="related_image"&gt;&lt;img src="./related_images/tail.png"&gt;&lt;/img&gt;&lt;/div&gt;</t>
  </si>
  <si>
    <t>&lt;div class="related_image"&gt;&lt;img src="./related_images/ceed_cess_cede.png"&gt;&lt;/img&gt;&lt;/div&gt;</t>
  </si>
  <si>
    <t>&lt;div class="related_image"&gt;&lt;img src="./related_images/habit_hibit.png"&gt;&lt;/img&gt;&lt;/div&gt;</t>
  </si>
  <si>
    <t>&lt;div class="related_image"&gt;&lt;img src="./related_images/stance_stant.png"&gt;&lt;/img&gt;&lt;/div&gt;</t>
  </si>
  <si>
    <t>&lt;div class="related_image"&gt;&lt;img src="./related_images/pone.png"&gt;&lt;/img&gt;&lt;/div&gt;</t>
  </si>
  <si>
    <t>&lt;div class="related_image"&gt;&lt;img src="./related_images/fin.png"&gt;&lt;/img&gt;&lt;/div&gt;</t>
  </si>
  <si>
    <t>&lt;div class="related_image"&gt;&lt;img src="./related_images/act.png"&gt;&lt;/img&gt;&lt;/div&gt;</t>
  </si>
  <si>
    <t>&lt;div class="related_image"&gt;&lt;img src="./related_images/dict_dicate.png"&gt;&lt;/img&gt;&lt;/div&gt;</t>
  </si>
  <si>
    <t>&lt;div class="related_image"&gt;&lt;img src="./related_images/serve.png"&gt;&lt;/img&gt;&lt;/div&gt;</t>
  </si>
  <si>
    <t>&lt;div class="related_image"&gt;&lt;img src="./related_images/aestimare.png"&gt;&lt;/img&gt;&lt;/div&gt;</t>
  </si>
  <si>
    <t>&lt;div class="related_image"&gt;&lt;img src="./related_images/tract.png"&gt;&lt;/img&gt;&lt;/div&gt;</t>
  </si>
  <si>
    <t>&lt;div class="related_image"&gt;&lt;img src="./related_images/tribute.png"&gt;&lt;/img&gt;&lt;/div&gt;</t>
  </si>
  <si>
    <t>&lt;div class="related_image"&gt;&lt;img src="./related_images/sume.png"&gt;&lt;/img&gt;&lt;/div&gt;</t>
  </si>
  <si>
    <t>&lt;div class="related_image"&gt;&lt;img src="./related_images/cept_cip.png"&gt;&lt;/img&gt;&lt;/div&gt;</t>
  </si>
  <si>
    <t>&lt;div class="related_image"&gt;&lt;img src="./related_images/contra.png"&gt;&lt;/img&gt;&lt;/div&gt;</t>
  </si>
  <si>
    <t>&lt;div class="related_image"&gt;&lt;img src="./related_images/sequi.png"&gt;&lt;/img&gt;&lt;/div&gt;</t>
  </si>
  <si>
    <t>&lt;div class="related_image"&gt;&lt;img src="./related_images/ante.png"&gt;&lt;/img&gt;&lt;/div&gt;&lt;div class="related_image"&gt;&lt;img src="./related_images/ceed_cess_cede.png"&gt;&lt;/img&gt;&lt;/div&gt;</t>
  </si>
  <si>
    <t>&lt;div class="related_image"&gt;&lt;img src="./related_images/gradus.png"&gt;&lt;/img&gt;&lt;/div&gt;</t>
  </si>
  <si>
    <t>&lt;div class="related_image"&gt;&lt;img src="./related_images/ver.png"&gt;&lt;/img&gt;&lt;/div&gt;</t>
  </si>
  <si>
    <t>&lt;div class="related_image"&gt;&lt;img src="./related_images/ex.png"&gt;&lt;/img&gt;&lt;/div&gt;</t>
  </si>
  <si>
    <t>&lt;div class="related_image"&gt;&lt;img src="./related_images/vi_via.png"&gt;&lt;/img&gt;&lt;/div&gt;</t>
  </si>
  <si>
    <t>&lt;div class="related_image"&gt;&lt;img src="./related_images/ord.png"&gt;&lt;/img&gt;&lt;/div&gt;</t>
  </si>
  <si>
    <t>&lt;div class="related_image"&gt;&lt;img src="./related_images/equ.png"&gt;&lt;/img&gt;&lt;/div&gt;</t>
  </si>
  <si>
    <t>&lt;div class="related_image"&gt;&lt;img src="./related_images/urb.png"&gt;&lt;/img&gt;&lt;/div&gt;</t>
  </si>
  <si>
    <t>&lt;div class="related_image"&gt;&lt;img src="./related_images/sting_stinc.png"&gt;&lt;/img&gt;&lt;/div&gt;</t>
  </si>
  <si>
    <t>&lt;div class="related_image"&gt;&lt;img src="./related_images/able.png"&gt;&lt;/img&gt;&lt;/div&gt;</t>
  </si>
  <si>
    <t>&lt;div class="related_image"&gt;&lt;img src="./related_images/ligere.png"&gt;&lt;/img&gt;&lt;/div&gt;</t>
  </si>
  <si>
    <t>&lt;div class="related_image"&gt;&lt;img src="./related_images/cap_cipate_cip.png"&gt;&lt;/img&gt;&lt;/div&gt;</t>
  </si>
  <si>
    <t>&lt;div class="related_image"&gt;&lt;img src="./related_images/price.png"&gt;&lt;/img&gt;&lt;/div&gt;</t>
  </si>
  <si>
    <t>&lt;div class="related_image"&gt;&lt;img src="./related_images/cap_cipate_cip.png"&gt;&lt;/img&gt;&lt;/div&gt;&lt;div class="related_image"&gt;&lt;img src="./related_images/prim_prin.png"&gt;&lt;/img&gt;&lt;/div&gt;</t>
  </si>
  <si>
    <t>&lt;div class="related_image"&gt;&lt;img src="./related_images/sess_sid_setl.png"&gt;&lt;/img&gt;&lt;/div&gt;</t>
  </si>
  <si>
    <t>&lt;div class="related_image"&gt;&lt;img src="./related_images/stitute.png"&gt;&lt;/img&gt;&lt;/div&gt;</t>
  </si>
  <si>
    <t>&lt;div class="related_image"&gt;&lt;img src="./related_images/voca.png"&gt;&lt;/img&gt;&lt;/div&gt;</t>
  </si>
  <si>
    <t>&lt;div class="related_image"&gt;&lt;img src="./related_images/cap_cipate_cip.png"&gt;&lt;/img&gt;&lt;/div&gt;&lt;div class="related_image"&gt;&lt;img src="./related_images/able.png"&gt;&lt;/img&gt;&lt;/div&gt;</t>
  </si>
  <si>
    <t>&lt;div class="related_image"&gt;&lt;img src="./related_images/cura.png"&gt;&lt;/img&gt;&lt;/div&gt;</t>
  </si>
  <si>
    <t>&lt;div class="related_image"&gt;&lt;img src="./related_images/mit.png"&gt;&lt;/img&gt;&lt;/div&gt;</t>
  </si>
  <si>
    <t>&lt;div class="related_image"&gt;&lt;img src="./related_images/ceive.png"&gt;&lt;/img&gt;&lt;/div&gt;</t>
  </si>
  <si>
    <t>&lt;div class="related_image"&gt;&lt;img src="./related_images/latin_comparative.png"&gt;&lt;/img&gt;&lt;/div&gt;</t>
  </si>
  <si>
    <t>&lt;div class="related_image"&gt;&lt;img src="./related_images/sense.png"&gt;&lt;/img&gt;&lt;/div&gt;</t>
  </si>
  <si>
    <t>&lt;div class="related_image"&gt;&lt;img src="./related_images/form.png"&gt;&lt;/img&gt;&lt;/div&gt;</t>
  </si>
  <si>
    <t>&lt;div class="related_image"&gt;&lt;img src="./related_images/al.png"&gt;&lt;/img&gt;&lt;/div&gt;</t>
  </si>
  <si>
    <t>&lt;div class="related_image"&gt;&lt;img src="./related_images/demo.png"&gt;&lt;/img&gt;&lt;/div&gt;</t>
  </si>
  <si>
    <t>&lt;div class="related_image"&gt;&lt;img src="./related_images/mini.png"&gt;&lt;/img&gt;&lt;/div&gt;</t>
  </si>
  <si>
    <t>&lt;div class="related_image"&gt;&lt;img src="./related_images/prim_prin.png"&gt;&lt;/img&gt;&lt;/div&gt;</t>
  </si>
  <si>
    <t>&lt;div class="related_image"&gt;&lt;img src="./related_images/logos.png"&gt;&lt;/img&gt;&lt;/div&gt;</t>
  </si>
  <si>
    <t>&lt;div class="related_image"&gt;&lt;img src="./related_images/liter.png"&gt;&lt;/img&gt;&lt;/div&gt;</t>
  </si>
  <si>
    <t>&lt;div class="related_image"&gt;&lt;img src="./related_images/mise_miss.png"&gt;&lt;/img&gt;&lt;/div&gt;</t>
  </si>
  <si>
    <t>&lt;div class="related_image"&gt;&lt;img src="./related_images/ag.png"&gt;&lt;/img&gt;&lt;/div&gt;</t>
  </si>
  <si>
    <t>&lt;div class="related_image"&gt;&lt;img src="./related_images/use.png"&gt;&lt;/img&gt;&lt;/div&gt;</t>
  </si>
  <si>
    <t>&lt;div class="related_image"&gt;&lt;img src="./related_images/parere.png"&gt;&lt;/img&gt;&lt;/div&gt;</t>
  </si>
  <si>
    <t>&lt;div class="related_image"&gt;&lt;img src="./related_images/rupt.png"&gt;&lt;/img&gt;&lt;/div&gt;</t>
  </si>
  <si>
    <t>&lt;div class="related_image"&gt;&lt;img src="./related_images/mut.png"&gt;&lt;/img&gt;&lt;/div&gt;</t>
  </si>
  <si>
    <t>&lt;div class="related_image"&gt;&lt;img src="./related_images/contra.png"&gt;&lt;/img&gt;&lt;/div&gt;&lt;div class="related_image"&gt;&lt;img src="./related_images/ver.png"&gt;&lt;/img&gt;&lt;/div&gt;</t>
  </si>
  <si>
    <t>&lt;div class="related_image"&gt;&lt;img src="./related_images/frag_frac.png"&gt;&lt;/img&gt;&lt;/div&gt;</t>
  </si>
  <si>
    <t>&lt;div class="related_image"&gt;&lt;img src="./related_images/pend.png"&gt;&lt;/img&gt;&lt;/div&gt;&lt;div class="related_image"&gt;&lt;img src="./related_images/able.png"&gt;&lt;/img&gt;&lt;/div&gt;</t>
  </si>
  <si>
    <t>&lt;div class="related_image"&gt;&lt;img src="./related_images/dict_dicate.png"&gt;&lt;/img&gt;&lt;/div&gt;&lt;div class="related_image"&gt;&lt;img src="./related_images/contra.png"&gt;&lt;/img&gt;&lt;/div&gt;</t>
  </si>
  <si>
    <t>&lt;span class="w"&gt;&lt;b&gt;【mean to do：〜するつもり】&lt;/b&gt;&lt;/span&gt;
&lt;span class="ml"&gt;mean to doが「〜するつもり」になるのは、meanのもとの意味が「意図する」だったから。&lt;/span&gt;</t>
    <phoneticPr fontId="1"/>
  </si>
  <si>
    <t>&lt;span class="w"&gt;&lt;b&gt;【allowは異なる2つの語の意味を引き継いだ】&lt;/b&gt;&lt;/span&gt;
&lt;span class="ml"&gt;ラテン語allocare（割り当てる, 与える）から「与える」という意味を引き継いだため、名詞allowanceには与えるお金＝「手当, 小遣い」の意味がある。
&lt;span class="spacer"&gt;&lt;/span&gt;またラテン語allaudare（称賛する, 承認する）から「許す」という意味を引き継いだため、名詞allowanceには「許可」の意味もある。&lt;/span&gt;</t>
    <phoneticPr fontId="1"/>
  </si>
  <si>
    <t>&lt;span class="w"&gt;&lt;b&gt;【提案する：仮定法現在になる】&lt;/b&gt;&lt;/span&gt;
&lt;span class="ml"&gt;suggestの意味が「提案する」の場合は［S suggest that S' V'］のV'は (should ＋) 原形になる。
I suggested that he (should) go to the doctor. 
(彼は医者に行くべきだと提案した)
※時制の一致によりhe wentにはならずhe goになることに注意。goはgoesにもならない。
&lt;span class="spacer"&gt;&lt;/span&gt;もしbe動詞を使うならhe beとなる。
I suggested he (should) be at home. 
(私は彼が家にいることを提案した)&lt;/span&gt;</t>
    <phoneticPr fontId="1"/>
  </si>
  <si>
    <t>&lt;span class="w"&gt;&lt;b&gt;【示唆する：時制を事実と合わせる】&lt;/b&gt;&lt;/span&gt;
&lt;span class="ml"&gt;意味が「示唆する」の場合は［S suggest that S' V'］のV'は言いたいことの時制に合わせる。
The evidence suggests that he was at the scene. 
(証拠は彼が現場にいたことを示唆している)
※家に「いた」なのでhe wasになっている。&lt;/span&gt;</t>
  </si>
  <si>
    <t>&lt;span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t>
  </si>
  <si>
    <t>&lt;span class="w"&gt;&lt;b&gt;【933.all manner of ~：あらゆる種類の〜】&lt;/b&gt;&lt;/span&gt;
&lt;span class="ml"&gt;&lt;span class="explanation_tag"&gt;語源とイメージ&lt;/span&gt;
mannerは、日本語でもマナー（方法・作法）という意味で使われるが、1200年頃の中英語では、「種類」という意味でも使われていた。これは、方法や作法が特定の決まった形に固定化されていくと、それぞれの流派（方法の種類）が生まれるようなイメージ。
&lt;span class="spacer"&gt;&lt;/span&gt;［all manner of A］では、mannerが「種類」という古い意味で使われており、「あらゆる（all）種類（manner）のA」という意味になる。&lt;/span&gt;</t>
  </si>
  <si>
    <t>&lt;span class="w"&gt;&lt;b&gt;【954.second to none：誰・何にも劣らない】&lt;/b&gt;&lt;/span&gt;
&lt;span class="ml"&gt;&lt;span class="explanation_tag"&gt;イメージ&lt;/span&gt;
［second to none］は、next to A（Aの次の, ほとんどA）と関連させて理解する。next to Aが「Aに対して次」を表すように、second to Aは「Aに対して2番目」を表す。例えば、second to himなら、himが1番目であり、その彼に次いで2番目となる。
&lt;span class="spacer"&gt;&lt;/span&gt;himの位置にnoneが入った［S is second to none］は、noneが1番目であり、Sはnoneに次いで2番目となる。しかし、noneは「誰もいない・何もない」という意味なので、結局はSが1番目だということを表し、「誰・何にも劣らない」という意味になる。
&lt;div class="sample_image 2026_954"&gt;&lt;/div&gt;&lt;/span&gt;</t>
  </si>
  <si>
    <t>&lt;span class="w"&gt;&lt;b&gt;【964.on the verge of ~：〜の瀬戸際で, 〜しそうで】&lt;/b&gt;&lt;/span&gt;
&lt;span class="ml"&gt;&lt;span class="explanation_tag"&gt;語源&lt;/span&gt;
vergeは、ラテン語virga（杖, 棒）に由来する。英語では、1400年頃にラテン語と同様「杖, 棒」という意味で使われたが、15世紀半ばに「ふち, へり」という意味に変化した。
&lt;span class="spacer"&gt;&lt;/span&gt;この「杖」から「ふち, へり」への意味の変化は、当時の人々にとって杖は権威の象徴であり、within the verge（杖で指図する範囲内）が「権威が及ぶ範囲内」という意味で使われたことに由来する。そこから次第に、権威が及ぶ範囲の限界を指すようになり、「ふち, へり」という意味になった。
&lt;span class="spacer"&gt;&lt;/span&gt;そして1600年頃までに、［on the verge of A］で、Aが起こるか起こらないかのギリギリの縁にいる＝「〜の瀬戸際で, 〜しそうで」という意味になった。&lt;/span&gt;</t>
  </si>
  <si>
    <t>&lt;span class="w"&gt;&lt;b&gt;【966.to the effect that S V：SがVするという趣旨で】&lt;/b&gt;&lt;/span&gt;
&lt;span class="ml"&gt;&lt;span class="explanation_tag"&gt;語源&lt;/span&gt;
effectは、ラテン語ex（外へ）と、facere（行う）が合わさってできた語。何かを行なった結果として外に出てきたものというイメージから、「影響, 効果」という意味になる。
&lt;span class="spacer"&gt;&lt;/span&gt;またeffectは、何かを行なった結果として現実に出てきたものなので、かつては「現実, 事実」という意味があった。この意味はin effect「実際に, 事実上」に残っている。
&lt;span class="spacer"&gt;&lt;/span&gt;&lt;span class="explanation_tag"&gt;イメージ&lt;/span&gt;
effectは語源的に考えると、何かを行った結果、最終的に表（現実）に出てくるもの。
&lt;span class="spacer"&gt;&lt;/span&gt;［to the effect that S V］では、言葉（発言・メール・メモなど）が最終的に現実へ出している意味、つまり言い表している内容に対して、effectという単語が使われている。それを日本語にすると、発言・メール・メモなどの「趣旨」となる。
&lt;span class="spacer"&gt;&lt;/span&gt;ある言葉が、［that S V］という趣旨（effect）へ至る（to）ことから、「SがVするという趣旨で」という意味になる。
&lt;span class="spacer"&gt;&lt;/span&gt;&lt;span class="explanation_tag"&gt;例&lt;/span&gt;
She left a note to the effect that she would be late.
彼女は遅れるという趣旨のメモを残した
&lt;span class="spacer"&gt;&lt;/span&gt;noteに書かれた言葉が、最終的に現実に出てくる［that ~ というeffect］に至る（to）、という意味。&lt;/span&gt;</t>
  </si>
  <si>
    <t>&lt;span class="w"&gt;&lt;b&gt;【985.if anything：どちらかと言えば, もし何か言うならば】&lt;/b&gt;&lt;/span&gt;
&lt;span class="ml"&gt;&lt;span class="explanation_tag"&gt;イメージ&lt;/span&gt;
［if anything］は、if there is anythingから、there isが省略されたものだと考えればよい。もしくは、より意味をイメージしやすくするために、if there is anything to say（&lt;strong&gt;もし何か言うことがあれば&lt;/strong&gt;）と考えてもよい。
&lt;span class="spacer"&gt;&lt;/span&gt;［if anything］は、A&lt;span class="arrow"&gt;→&lt;/span&gt;if anything&lt;span class="arrow"&gt;→&lt;/span&gt;Bという流れで使われ、既に述べられたAに対して、&lt;strong&gt;もし何か言うことがあれば&lt;/strong&gt;Bだ、というAとBの接続を表現する。そのため、日本語訳の仕方は、AとBの関係性によって変わる。
&lt;span class="spacer"&gt;&lt;/span&gt;例えば、「Aではない、もし何か言うならばBだ」という流れであれば、「Aではない、&lt;strong&gt;どちらかと言えば&lt;/strong&gt;Bだ」という訳になる。
&lt;span class="spacer"&gt;&lt;/span&gt;また、「Aだ、&lt;strong&gt;もし何か言うならば&lt;/strong&gt;Bだ」という訳が自然な場合もある。
&lt;span class="spacer"&gt;&lt;/span&gt;&lt;span class="explanation_tag"&gt;例&lt;/span&gt;
The test was not easy. If anything, it was the most difficult one this year.
テストは簡単ではなかった。何か言うならば、今年もっとも難しいものだった。
＝テストは簡単ではなかった。どちらかと言えば、今年もっとも難しいものだった。
&lt;span class="spacer"&gt;&lt;/span&gt;
The soup is good. If anything, it needs a little more salt.
そのスープは美味しい。もし何か言うならば、もう少し塩が必要だ。
※この文は「どちらかと言えば」と言う訳にすると、前半の「美味しい」と後半の関係がおかしくなる。
&lt;div class="sample_image 2026_985"&gt;&lt;/div&gt;&lt;/span&gt;
&lt;span class="spacer"&gt;&lt;/span&gt;&lt;span class="explanation_tag"&gt;関連語&lt;/span&gt;
［770.if any］は、if there are any A（もしAがどれだけかあるとしても, もしAがどれだけかあれば）から、there areとA部分が省略された形だと考えればよい。
&lt;span class="spacer"&gt;&lt;/span&gt;そこから「もしあるとしても」という数量の少なさや、「もしあれば」という仮定を表す。</t>
  </si>
  <si>
    <t>&lt;span class="w"&gt;&lt;b&gt;【998.such as it is：大したものではないが, こんな程度のものだが】&lt;/b&gt;&lt;/span&gt;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［such as it is］は、such（そういうもの）と、it is（それがいま存在する）が、asによって「一致」しているイメージ。
&lt;span class="spacer"&gt;&lt;/span&gt;つまり、代名詞suchが指す〈名詞〉が、付加価値をもっていたり、相手の理想や期待を満たすような何かをもっているのではなく、素朴に〈名詞〉のありのままのものである（it is）ということを表す。
&lt;span class="spacer"&gt;&lt;/span&gt;そこから、「大したものではないが, こんな程度のものだが」という控えめな意味になる。
&lt;span class="spacer"&gt;&lt;/span&gt;&lt;span class="explanation_tag"&gt;例&lt;/span&gt;
You can use my racket, such as it is.
&lt;span class="obsolete"&gt;my racket＝such / it&lt;/span&gt;
&lt;span class="spacer"&gt;&lt;/span&gt;私のラケット使っていいよ
（ラケットは）いまある（it is）ままと一致する（as）そういうもの（such）だけどね
＝特別ではなく、それそのものだけどね
＝大したものではないけどね
&lt;span class="spacer"&gt;&lt;/span&gt;&lt;span class="explanation_tag"&gt;補足&lt;/span&gt;
suchが指す〈名詞〉が複数形であれば、［such as they are］となる。
また時制の一致により、be動詞は過去形になることもある。
&lt;div class="sample_image 2026_998"&gt;&lt;/div&gt;&lt;/span&gt;</t>
  </si>
  <si>
    <t>&lt;span class="w"&gt;&lt;b&gt;【1000.to date：現在までに】&lt;/b&gt;&lt;/span&gt;
&lt;span class="ml"&gt;&lt;span class="explanation_tag"&gt;語源&lt;/span&gt;
dateは、ラテン語dare（与える）の過去分詞datus（与えられた）に由来する。
&lt;span class="spacer"&gt;&lt;/span&gt;「与えられた」という意味から「日付」という意味へ発展したのは、ローマ人の慣習に由来する。
&lt;span class="spacer"&gt;&lt;/span&gt;ローマ人は書簡の最後に必ず「与えられた」という語とともに、その日にち・月を書き添えていた。この「与えられた」は、おそらく「使者に渡された」という意味で、「○月○日に（使者に）渡された」と書いていたと考えられる。その結果、書簡が渡されることとは関係なく、dataは「日付」を意味するようになった。
&lt;span class="spacer"&gt;&lt;/span&gt;&lt;span class="explanation_tag"&gt;イメージ&lt;/span&gt;
［to date］のdateは、日記や記録を書くときの「日付」をイメージすればよい。そういったものに書く日付というのは、書いた日時点の「今日」である。例えば、いま日記を書いて記すdateは「今日」であり、5日前に書いた日記のdateは、その書いた日の「今日」である。
&lt;span class="spacer"&gt;&lt;/span&gt;そのdate＝その時点での最新の日付というイメージから、［to date］は「現在までに」という意味になる。
&lt;span class="spacer"&gt;&lt;/span&gt;&lt;span class="explanation_tag"&gt;補足&lt;/span&gt;
ローマ時代の書簡に書かれた表現
datum Romae pridie Kalendas Maias
与えられた, ローマで, 前日, 最初の日, 5月の
&lt;span class="spacer"&gt;&lt;/span&gt;ローマで5月最初の日の前日（4月末日）に使者に渡された書簡
&lt;div class="sample_image 2026_1000"&gt;&lt;/div&gt;&lt;/span&gt;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</si>
</sst>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3"/>
      <color theme="1"/>
      <name val="游ゴシック"/>
      <family val="2"/>
      <charset val="128"/>
      <scheme val="minor"/>
    </font>
  </fonts>
  <fills count="13">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F0E0E0"/>
        <bgColor indexed="64"/>
      </patternFill>
    </fill>
    <fill>
      <patternFill patternType="solid">
        <fgColor theme="8" tint="0.59999389629810485"/>
        <bgColor indexed="64"/>
      </patternFill>
    </fill>
    <fill>
      <patternFill patternType="solid">
        <fgColor theme="7" tint="0.79998168889431442"/>
        <bgColor indexed="64"/>
      </patternFill>
    </fill>
    <fill>
      <patternFill patternType="solid">
        <fgColor rgb="FFFF0000"/>
        <bgColor indexed="64"/>
      </patternFill>
    </fill>
    <fill>
      <patternFill patternType="solid">
        <fgColor theme="5" tint="0.79998168889431442"/>
        <bgColor indexed="64"/>
      </patternFill>
    </fill>
    <fill>
      <patternFill patternType="solid">
        <fgColor theme="5" tint="0.79998168889431442"/>
        <bgColor indexed="65"/>
      </patternFill>
    </fill>
    <fill>
      <patternFill patternType="solid">
        <fgColor theme="7" tint="0.79998168889431442"/>
        <bgColor indexed="65"/>
      </patternFill>
    </fill>
    <fill>
      <patternFill patternType="solid">
        <fgColor theme="9" tint="0.79998168889431442"/>
        <bgColor indexed="65"/>
      </patternFill>
    </fill>
    <fill>
      <patternFill patternType="solid">
        <fgColor rgb="FFDCE6F2"/>
        <bgColor indexed="64"/>
      </patternFill>
    </fill>
  </fills>
  <borders count="1">
    <border>
      <left/>
      <right/>
      <top/>
      <bottom/>
      <diagonal/>
    </border>
  </borders>
  <cellStyleXfs count="1">
    <xf numFmtId="0" fontId="0" fillId="0" borderId="0">
      <alignment vertical="center"/>
    </xf>
  </cellStyleXfs>
  <cellXfs count="24">
    <xf numFmtId="0" fontId="0" fillId="0" borderId="0" xfId="0">
      <alignment vertical="center"/>
    </xf>
    <xf numFmtId="49" fontId="0" fillId="0" borderId="0" xfId="0" applyNumberFormat="1">
      <alignment vertical="center"/>
    </xf>
    <xf numFmtId="49" fontId="0" fillId="0" borderId="0" xfId="0" applyNumberFormat="1" applyAlignment="1">
      <alignment vertical="center" wrapText="1"/>
    </xf>
    <xf numFmtId="49" fontId="0" fillId="6" borderId="0" xfId="0" applyNumberFormat="1" applyFill="1" applyAlignment="1">
      <alignment vertical="center" wrapText="1"/>
    </xf>
    <xf numFmtId="49" fontId="0" fillId="3" borderId="0" xfId="0" applyNumberFormat="1" applyFill="1" applyAlignment="1">
      <alignment vertical="center" wrapText="1"/>
    </xf>
    <xf numFmtId="49" fontId="0" fillId="0" borderId="0" xfId="0" applyNumberFormat="1" applyAlignment="1">
      <alignment horizontal="right" vertical="center"/>
    </xf>
    <xf numFmtId="49" fontId="0" fillId="0" borderId="0" xfId="0" applyNumberFormat="1" applyAlignment="1">
      <alignment horizontal="left" vertical="center"/>
    </xf>
    <xf numFmtId="49" fontId="0" fillId="5" borderId="0" xfId="0" applyNumberFormat="1" applyFill="1">
      <alignment vertical="center"/>
    </xf>
    <xf numFmtId="49" fontId="0" fillId="2" borderId="0" xfId="0" applyNumberFormat="1" applyFill="1" applyAlignment="1">
      <alignment horizontal="left" vertical="center"/>
    </xf>
    <xf numFmtId="49" fontId="0" fillId="4" borderId="0" xfId="0" applyNumberFormat="1" applyFill="1" applyAlignment="1">
      <alignment vertical="center" wrapText="1"/>
    </xf>
    <xf numFmtId="49" fontId="0" fillId="7" borderId="0" xfId="0" applyNumberFormat="1" applyFill="1" applyAlignment="1">
      <alignment vertical="center" wrapText="1"/>
    </xf>
    <xf numFmtId="49" fontId="0" fillId="8" borderId="0" xfId="0" applyNumberFormat="1" applyFill="1" applyAlignment="1">
      <alignment vertical="center" wrapText="1"/>
    </xf>
    <xf numFmtId="49" fontId="0" fillId="0" borderId="0" xfId="0" applyNumberFormat="1" applyAlignment="1"/>
    <xf numFmtId="0" fontId="0" fillId="12" borderId="0" xfId="0" applyFill="1">
      <alignment vertical="center"/>
    </xf>
    <xf numFmtId="0" fontId="0" fillId="12" borderId="0" xfId="0" applyFill="1" applyAlignment="1">
      <alignment vertical="center" wrapText="1"/>
    </xf>
    <xf numFmtId="0" fontId="0" fillId="0" borderId="0" xfId="0" applyAlignment="1">
      <alignment vertical="center" wrapText="1"/>
    </xf>
    <xf numFmtId="0" fontId="0" fillId="10" borderId="0" xfId="0" applyFill="1">
      <alignment vertical="center"/>
    </xf>
    <xf numFmtId="0" fontId="2" fillId="12" borderId="0" xfId="0" quotePrefix="1" applyFont="1" applyFill="1" applyAlignment="1">
      <alignment vertical="center" wrapText="1"/>
    </xf>
    <xf numFmtId="0" fontId="0" fillId="11" borderId="0" xfId="0" applyFill="1">
      <alignment vertical="center"/>
    </xf>
    <xf numFmtId="0" fontId="0" fillId="9" borderId="0" xfId="0" applyFill="1">
      <alignment vertical="center"/>
    </xf>
    <xf numFmtId="0" fontId="0" fillId="9" borderId="0" xfId="0" applyFill="1" applyAlignment="1">
      <alignment vertical="center" wrapText="1"/>
    </xf>
    <xf numFmtId="0" fontId="2" fillId="0" borderId="0" xfId="0" quotePrefix="1" applyFont="1" applyAlignment="1">
      <alignment vertical="center" wrapText="1"/>
    </xf>
    <xf numFmtId="0" fontId="0" fillId="10" borderId="0" xfId="0" applyFill="1" applyAlignment="1">
      <alignment vertical="center" wrapText="1"/>
    </xf>
    <xf numFmtId="0" fontId="0" fillId="11" borderId="0" xfId="0" applyFill="1" applyAlignment="1">
      <alignment vertical="center" wrapText="1"/>
    </xf>
  </cellXfs>
  <cellStyles count="1">
    <cellStyle name="標準" xfId="0" builtinId="0"/>
  </cellStyles>
  <dxfs count="302">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W2501"/>
  <sheetViews>
    <sheetView tabSelected="1" topLeftCell="AB1" zoomScale="55" zoomScaleNormal="55" zoomScaleSheetLayoutView="100" workbookViewId="0">
      <pane ySplit="1" topLeftCell="A9" activePane="bottomLeft" state="frozen"/>
      <selection pane="bottomLeft" activeCell="AH10" sqref="AH10"/>
    </sheetView>
  </sheetViews>
  <sheetFormatPr defaultColWidth="8.69921875" defaultRowHeight="18" outlineLevelCol="1" x14ac:dyDescent="0.45"/>
  <cols>
    <col min="1" max="1" width="5.3984375" style="1" bestFit="1" customWidth="1"/>
    <col min="2" max="2" width="19" style="1" customWidth="1"/>
    <col min="3" max="3" width="11.8984375" style="1" customWidth="1"/>
    <col min="4" max="4" width="5" style="1" bestFit="1" customWidth="1"/>
    <col min="5" max="5" width="9.3984375" style="12" bestFit="1" customWidth="1"/>
    <col min="6" max="6" width="10.19921875" style="12" bestFit="1" customWidth="1"/>
    <col min="7" max="7" width="7.69921875" style="12" bestFit="1" customWidth="1"/>
    <col min="8" max="9" width="5.59765625" style="1" customWidth="1"/>
    <col min="10" max="10" width="2.59765625" style="1" customWidth="1"/>
    <col min="11" max="11" width="51.5" style="1" customWidth="1"/>
    <col min="12" max="12" width="75.3984375" style="1" bestFit="1" customWidth="1"/>
    <col min="13" max="14" width="5.5" style="1" customWidth="1" outlineLevel="1"/>
    <col min="15" max="15" width="5.09765625" style="1" customWidth="1" outlineLevel="1"/>
    <col min="16" max="16" width="6.69921875" style="1" customWidth="1" outlineLevel="1"/>
    <col min="17" max="17" width="68.3984375" customWidth="1" outlineLevel="1"/>
    <col min="18" max="18" width="50.5" customWidth="1" outlineLevel="1"/>
    <col min="19" max="20" width="58.19921875" customWidth="1" outlineLevel="1"/>
    <col min="21" max="21" width="42" customWidth="1" outlineLevel="1"/>
    <col min="22" max="22" width="50.5" customWidth="1" outlineLevel="1"/>
    <col min="23" max="25" width="42" customWidth="1" outlineLevel="1"/>
    <col min="26" max="27" width="31.3984375" customWidth="1" outlineLevel="1"/>
    <col min="28" max="28" width="28.69921875" customWidth="1" outlineLevel="1"/>
    <col min="29" max="30" width="36" customWidth="1" outlineLevel="1"/>
    <col min="31" max="46" width="11.09765625" customWidth="1" outlineLevel="1"/>
    <col min="47" max="47" width="5.8984375" customWidth="1" outlineLevel="1"/>
    <col min="48" max="48" width="5.8984375" style="1" customWidth="1" outlineLevel="1"/>
    <col min="49" max="49" width="48.69921875" style="1" customWidth="1" outlineLevel="1"/>
    <col min="50" max="50" width="18.8984375" style="1" customWidth="1" outlineLevel="1"/>
    <col min="51" max="51" width="12.3984375" style="1" customWidth="1" outlineLevel="1"/>
    <col min="52" max="52" width="13" style="1" customWidth="1" outlineLevel="1"/>
    <col min="53" max="57" width="8.69921875" style="1" customWidth="1" outlineLevel="1"/>
    <col min="58" max="58" width="9.69921875" style="1" customWidth="1" outlineLevel="1"/>
    <col min="59" max="59" width="5.09765625" style="1" bestFit="1" customWidth="1"/>
    <col min="60" max="60" width="14.19921875" style="1" bestFit="1" customWidth="1"/>
    <col min="61" max="61" width="68.8984375" style="1" bestFit="1" customWidth="1"/>
    <col min="62" max="62" width="19.3984375" style="1" customWidth="1"/>
    <col min="63" max="63" width="65" style="1" customWidth="1"/>
    <col min="64" max="64" width="12.69921875" style="1" bestFit="1" customWidth="1"/>
    <col min="65" max="65" width="39.69921875" style="1" bestFit="1" customWidth="1"/>
    <col min="66" max="66" width="12.3984375" style="1" bestFit="1" customWidth="1"/>
    <col min="67" max="67" width="40.5" style="1" bestFit="1" customWidth="1"/>
    <col min="68" max="68" width="8.59765625" style="1" bestFit="1" customWidth="1"/>
    <col min="69" max="69" width="41.59765625" style="1" customWidth="1"/>
    <col min="70" max="70" width="8.59765625" style="1" bestFit="1" customWidth="1"/>
    <col min="71" max="71" width="44.69921875" style="1" customWidth="1"/>
    <col min="72" max="72" width="14.09765625" style="1" customWidth="1"/>
    <col min="73" max="73" width="35.19921875" style="1" customWidth="1"/>
    <col min="74" max="74" width="8.69921875" style="1"/>
    <col min="75" max="75" width="23.69921875" style="1" customWidth="1"/>
    <col min="76" max="16384" width="8.69921875" style="1"/>
  </cols>
  <sheetData>
    <row r="1" spans="1:75" x14ac:dyDescent="0.45">
      <c r="A1" s="5" t="s">
        <v>1239</v>
      </c>
      <c r="B1" s="6" t="s">
        <v>1240</v>
      </c>
      <c r="C1" s="6" t="s">
        <v>6850</v>
      </c>
      <c r="D1" s="7" t="s">
        <v>39</v>
      </c>
      <c r="E1" s="1" t="s">
        <v>0</v>
      </c>
      <c r="F1" s="1" t="s">
        <v>1</v>
      </c>
      <c r="G1" s="1" t="s">
        <v>2</v>
      </c>
      <c r="H1" s="1" t="s">
        <v>3</v>
      </c>
      <c r="I1" s="1" t="s">
        <v>20</v>
      </c>
      <c r="J1" s="1" t="s">
        <v>40</v>
      </c>
      <c r="K1" s="1" t="s">
        <v>1243</v>
      </c>
      <c r="L1" s="1" t="s">
        <v>1244</v>
      </c>
      <c r="N1" s="1" t="s">
        <v>1245</v>
      </c>
      <c r="O1" s="1" t="s">
        <v>1246</v>
      </c>
      <c r="P1" s="1" t="s">
        <v>41</v>
      </c>
      <c r="Q1" t="s">
        <v>9</v>
      </c>
      <c r="R1" t="s">
        <v>10</v>
      </c>
      <c r="S1" t="s">
        <v>11</v>
      </c>
      <c r="T1" t="s">
        <v>12</v>
      </c>
      <c r="U1" t="s">
        <v>13</v>
      </c>
      <c r="V1" t="s">
        <v>14</v>
      </c>
      <c r="W1" t="s">
        <v>1255</v>
      </c>
      <c r="X1" t="s">
        <v>1256</v>
      </c>
      <c r="Y1" t="s">
        <v>1257</v>
      </c>
      <c r="Z1" t="s">
        <v>1258</v>
      </c>
      <c r="AA1" t="s">
        <v>1321</v>
      </c>
      <c r="AB1" t="s">
        <v>1322</v>
      </c>
      <c r="AC1" t="s">
        <v>1323</v>
      </c>
      <c r="AD1" t="s">
        <v>1324</v>
      </c>
      <c r="AE1" t="s">
        <v>1805</v>
      </c>
      <c r="AF1" t="s">
        <v>1806</v>
      </c>
      <c r="AG1" t="s">
        <v>1807</v>
      </c>
      <c r="AH1" t="s">
        <v>9078</v>
      </c>
      <c r="AI1" t="s">
        <v>9066</v>
      </c>
      <c r="AJ1" t="s">
        <v>9067</v>
      </c>
      <c r="AK1" t="s">
        <v>9068</v>
      </c>
      <c r="AL1" t="s">
        <v>9069</v>
      </c>
      <c r="AM1" t="s">
        <v>9070</v>
      </c>
      <c r="AN1" t="s">
        <v>9071</v>
      </c>
      <c r="AO1" t="s">
        <v>9072</v>
      </c>
      <c r="AP1" t="s">
        <v>9073</v>
      </c>
      <c r="AQ1" t="s">
        <v>9074</v>
      </c>
      <c r="AR1" t="s">
        <v>9075</v>
      </c>
      <c r="AS1" t="s">
        <v>9076</v>
      </c>
      <c r="AT1" t="s">
        <v>9077</v>
      </c>
      <c r="AU1" t="s">
        <v>11774</v>
      </c>
      <c r="AV1" s="1" t="s">
        <v>1247</v>
      </c>
      <c r="AW1" s="1" t="s">
        <v>15</v>
      </c>
      <c r="AX1" s="1" t="s">
        <v>16</v>
      </c>
      <c r="AY1" s="1" t="s">
        <v>17</v>
      </c>
      <c r="AZ1" s="1" t="s">
        <v>18</v>
      </c>
      <c r="BA1" s="1" t="s">
        <v>19</v>
      </c>
      <c r="BB1" s="1" t="s">
        <v>30</v>
      </c>
      <c r="BC1" s="1" t="s">
        <v>42</v>
      </c>
      <c r="BD1" s="1" t="s">
        <v>1125</v>
      </c>
      <c r="BE1" s="1" t="s">
        <v>1126</v>
      </c>
      <c r="BF1" s="1" t="s">
        <v>1127</v>
      </c>
      <c r="BG1" s="1" t="s">
        <v>1248</v>
      </c>
      <c r="BH1" s="1" t="s">
        <v>32</v>
      </c>
      <c r="BI1" s="1" t="s">
        <v>21</v>
      </c>
      <c r="BJ1" s="1" t="s">
        <v>33</v>
      </c>
      <c r="BK1" s="1" t="s">
        <v>22</v>
      </c>
      <c r="BL1" s="1" t="s">
        <v>34</v>
      </c>
      <c r="BM1" s="1" t="s">
        <v>23</v>
      </c>
      <c r="BN1" s="1" t="s">
        <v>35</v>
      </c>
      <c r="BO1" s="1" t="s">
        <v>24</v>
      </c>
      <c r="BP1" s="1" t="s">
        <v>36</v>
      </c>
      <c r="BQ1" s="1" t="s">
        <v>25</v>
      </c>
      <c r="BR1" s="1" t="s">
        <v>37</v>
      </c>
      <c r="BS1" s="1" t="s">
        <v>26</v>
      </c>
      <c r="BT1" s="1" t="s">
        <v>3840</v>
      </c>
      <c r="BU1" s="1" t="s">
        <v>3841</v>
      </c>
      <c r="BV1" s="1" t="s">
        <v>6782</v>
      </c>
      <c r="BW1" s="1" t="s">
        <v>6783</v>
      </c>
    </row>
    <row r="2" spans="1:75" ht="234" x14ac:dyDescent="0.45">
      <c r="A2" s="5">
        <v>1</v>
      </c>
      <c r="B2" s="8" t="s">
        <v>4</v>
      </c>
      <c r="C2" s="6" t="s">
        <v>1816</v>
      </c>
      <c r="D2" s="7" t="s">
        <v>9794</v>
      </c>
      <c r="E2" s="1" t="s">
        <v>4</v>
      </c>
      <c r="F2" s="1"/>
      <c r="G2" s="1"/>
      <c r="J2" s="1" t="s">
        <v>9795</v>
      </c>
      <c r="K2" s="1" t="s">
        <v>7170</v>
      </c>
      <c r="L2" s="4" t="s">
        <v>12144</v>
      </c>
      <c r="P2" s="7" t="s">
        <v>1241</v>
      </c>
      <c r="Q2" s="13"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R2" s="13"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S2" s="14"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T2" s="14"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U2" s="14"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V2" s="15"/>
      <c r="W2" s="15"/>
      <c r="X2" s="15"/>
      <c r="Y2" s="15"/>
      <c r="Z2" s="15"/>
      <c r="AA2" s="15"/>
      <c r="AB2" s="15"/>
      <c r="AC2" s="15"/>
      <c r="AD2" s="15"/>
      <c r="AE2" s="15"/>
      <c r="AF2" s="15"/>
      <c r="AG2" s="15"/>
      <c r="AI2" s="15"/>
      <c r="AJ2" s="15"/>
      <c r="AK2" s="15"/>
      <c r="AL2" s="15"/>
      <c r="AU2" s="15"/>
      <c r="AV2" s="1" t="s">
        <v>1502</v>
      </c>
      <c r="AW2" s="2" t="s">
        <v>11777</v>
      </c>
      <c r="AX2" s="2"/>
      <c r="AY2" s="2"/>
      <c r="AZ2" s="2"/>
      <c r="BG2" s="7" t="s">
        <v>1503</v>
      </c>
      <c r="BH2" s="1" t="s">
        <v>1947</v>
      </c>
      <c r="BI2" s="2" t="s">
        <v>7134</v>
      </c>
      <c r="BJ2" s="1" t="s">
        <v>2044</v>
      </c>
      <c r="BK2" s="2" t="s">
        <v>7096</v>
      </c>
    </row>
    <row r="3" spans="1:75" ht="234" x14ac:dyDescent="0.45">
      <c r="A3" s="5">
        <v>2</v>
      </c>
      <c r="B3" s="8" t="s">
        <v>5</v>
      </c>
      <c r="C3" s="6" t="s">
        <v>1816</v>
      </c>
      <c r="D3" s="7" t="s">
        <v>9794</v>
      </c>
      <c r="E3" s="1" t="s">
        <v>27</v>
      </c>
      <c r="F3" s="1" t="s">
        <v>28</v>
      </c>
      <c r="G3" s="1"/>
      <c r="J3" s="1" t="s">
        <v>9795</v>
      </c>
      <c r="K3" s="2" t="s">
        <v>7171</v>
      </c>
      <c r="L3" s="3" t="s">
        <v>7952</v>
      </c>
      <c r="P3" s="7" t="s">
        <v>1241</v>
      </c>
      <c r="Q3" s="13"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3" s="13"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S3" s="13"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T3" s="14"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U3" s="14"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AI3" s="15"/>
      <c r="AJ3" s="15"/>
      <c r="AK3" s="15"/>
      <c r="AU3" s="15"/>
      <c r="AV3" s="1" t="s">
        <v>1502</v>
      </c>
      <c r="AW3" s="2"/>
      <c r="AX3" s="2"/>
      <c r="AY3" s="2"/>
      <c r="BG3" s="7" t="s">
        <v>1503</v>
      </c>
      <c r="BH3" s="1" t="s">
        <v>1947</v>
      </c>
      <c r="BI3" s="2" t="s">
        <v>1861</v>
      </c>
      <c r="BJ3" s="1" t="s">
        <v>1504</v>
      </c>
      <c r="BK3" s="2" t="s">
        <v>1862</v>
      </c>
      <c r="BL3" s="1" t="s">
        <v>1863</v>
      </c>
      <c r="BM3" s="2" t="s">
        <v>1864</v>
      </c>
      <c r="BN3" s="1" t="s">
        <v>1865</v>
      </c>
      <c r="BO3" s="1" t="s">
        <v>1866</v>
      </c>
    </row>
    <row r="4" spans="1:75" ht="126" x14ac:dyDescent="0.45">
      <c r="A4" s="5">
        <v>3</v>
      </c>
      <c r="B4" s="8" t="s">
        <v>6</v>
      </c>
      <c r="C4" s="6" t="s">
        <v>1816</v>
      </c>
      <c r="D4" s="7" t="s">
        <v>9794</v>
      </c>
      <c r="E4" s="1" t="s">
        <v>29</v>
      </c>
      <c r="F4" s="1" t="s">
        <v>104</v>
      </c>
      <c r="G4" s="1"/>
      <c r="J4" s="1" t="s">
        <v>9795</v>
      </c>
      <c r="K4" s="2" t="s">
        <v>7172</v>
      </c>
      <c r="L4" s="4" t="s">
        <v>7953</v>
      </c>
      <c r="P4" s="7" t="s">
        <v>1241</v>
      </c>
      <c r="Q4" s="15"/>
      <c r="R4" s="15"/>
      <c r="S4" s="15"/>
      <c r="T4" s="15"/>
      <c r="U4" s="15"/>
      <c r="V4" s="15"/>
      <c r="W4" s="15"/>
      <c r="AI4" s="15"/>
      <c r="AJ4" s="15"/>
      <c r="AU4" s="15"/>
      <c r="AV4" s="1" t="s">
        <v>1502</v>
      </c>
      <c r="AW4" s="2"/>
      <c r="AX4" s="2"/>
      <c r="BG4" s="7" t="s">
        <v>1503</v>
      </c>
      <c r="BH4" s="1" t="s">
        <v>1947</v>
      </c>
      <c r="BI4" s="2" t="s">
        <v>1867</v>
      </c>
      <c r="BJ4" s="1" t="s">
        <v>1504</v>
      </c>
      <c r="BK4" s="2" t="s">
        <v>1868</v>
      </c>
      <c r="BL4" s="1" t="s">
        <v>1869</v>
      </c>
      <c r="BM4" s="1" t="s">
        <v>1870</v>
      </c>
      <c r="BN4" s="1" t="s">
        <v>1863</v>
      </c>
      <c r="BO4" s="2" t="s">
        <v>1948</v>
      </c>
      <c r="BP4" s="1" t="s">
        <v>1865</v>
      </c>
      <c r="BQ4" s="2" t="s">
        <v>1871</v>
      </c>
    </row>
    <row r="5" spans="1:75" ht="126" x14ac:dyDescent="0.45">
      <c r="A5" s="5">
        <v>4</v>
      </c>
      <c r="B5" s="8" t="s">
        <v>7</v>
      </c>
      <c r="C5" s="6" t="s">
        <v>1816</v>
      </c>
      <c r="D5" s="7" t="s">
        <v>9794</v>
      </c>
      <c r="E5" s="1" t="s">
        <v>7</v>
      </c>
      <c r="F5" s="1"/>
      <c r="G5" s="1"/>
      <c r="J5" s="1" t="s">
        <v>9795</v>
      </c>
      <c r="K5" s="2" t="s">
        <v>7135</v>
      </c>
      <c r="L5" s="4" t="s">
        <v>7954</v>
      </c>
      <c r="P5" s="7" t="s">
        <v>1241</v>
      </c>
      <c r="Q5" s="13"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AI5" s="15"/>
      <c r="AV5" s="1" t="s">
        <v>1502</v>
      </c>
      <c r="AW5" s="2" t="s">
        <v>12278</v>
      </c>
      <c r="BG5" s="7" t="s">
        <v>1503</v>
      </c>
      <c r="BH5" s="1" t="s">
        <v>1872</v>
      </c>
      <c r="BI5" s="1" t="s">
        <v>1873</v>
      </c>
      <c r="BJ5" s="1" t="s">
        <v>2044</v>
      </c>
      <c r="BK5" s="1" t="s">
        <v>4163</v>
      </c>
    </row>
    <row r="6" spans="1:75" ht="306" x14ac:dyDescent="0.45">
      <c r="A6" s="5">
        <v>5</v>
      </c>
      <c r="B6" s="8" t="s">
        <v>8</v>
      </c>
      <c r="C6" s="6" t="s">
        <v>1816</v>
      </c>
      <c r="D6" s="7" t="s">
        <v>9794</v>
      </c>
      <c r="E6" s="1" t="s">
        <v>8</v>
      </c>
      <c r="F6" s="1"/>
      <c r="G6" s="1"/>
      <c r="J6" s="1" t="s">
        <v>9795</v>
      </c>
      <c r="K6" s="2" t="s">
        <v>7173</v>
      </c>
      <c r="L6" s="4" t="s">
        <v>7955</v>
      </c>
      <c r="P6" s="7" t="s">
        <v>1241</v>
      </c>
      <c r="Q6" s="14" t="str">
        <f>INDEX($L:$L, MATCH("owe", $B:$B, 0))</f>
        <v>&lt;span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v>
      </c>
      <c r="AI6" s="15"/>
      <c r="AJ6" s="15"/>
      <c r="AU6" s="15"/>
      <c r="AV6" s="1" t="s">
        <v>1502</v>
      </c>
      <c r="AW6" s="2"/>
      <c r="AX6" s="2"/>
      <c r="BG6" s="7" t="s">
        <v>1503</v>
      </c>
      <c r="BH6" s="1" t="s">
        <v>1872</v>
      </c>
      <c r="BI6" s="2" t="s">
        <v>1874</v>
      </c>
      <c r="BJ6" s="1" t="s">
        <v>1875</v>
      </c>
      <c r="BK6" s="2" t="s">
        <v>1876</v>
      </c>
      <c r="BL6" s="1" t="s">
        <v>1877</v>
      </c>
      <c r="BM6" s="2" t="s">
        <v>1949</v>
      </c>
    </row>
    <row r="7" spans="1:75" ht="198" x14ac:dyDescent="0.45">
      <c r="A7" s="5">
        <v>6</v>
      </c>
      <c r="B7" s="8" t="s">
        <v>43</v>
      </c>
      <c r="C7" s="6" t="s">
        <v>1816</v>
      </c>
      <c r="D7" s="7" t="s">
        <v>9794</v>
      </c>
      <c r="E7" s="1" t="s">
        <v>27</v>
      </c>
      <c r="F7" s="1" t="s">
        <v>44</v>
      </c>
      <c r="G7" s="1"/>
      <c r="J7" s="1" t="s">
        <v>9795</v>
      </c>
      <c r="K7" s="2" t="s">
        <v>12145</v>
      </c>
      <c r="L7" s="3" t="s">
        <v>12146</v>
      </c>
      <c r="M7" s="1" t="s">
        <v>12166</v>
      </c>
      <c r="P7" s="7" t="s">
        <v>1241</v>
      </c>
      <c r="Q7" s="14" t="str">
        <f>INDEX($L:$L, MATCH("exclude", $B:$B, 0))</f>
        <v>&lt;span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v>
      </c>
      <c r="R7" s="14" t="str">
        <f>INDEX($L:$L, MATCH("conclude", $B:$B, 0))</f>
        <v>&lt;span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v>
      </c>
      <c r="AI7" s="15"/>
      <c r="AK7" s="15"/>
      <c r="AM7" s="15"/>
      <c r="AU7" s="15"/>
      <c r="AV7" s="1" t="s">
        <v>1502</v>
      </c>
      <c r="AW7" s="2"/>
      <c r="AY7" s="2"/>
      <c r="BA7" s="2"/>
      <c r="BG7" s="7" t="s">
        <v>1503</v>
      </c>
      <c r="BH7" s="1" t="s">
        <v>1947</v>
      </c>
      <c r="BI7" s="2" t="s">
        <v>1878</v>
      </c>
      <c r="BJ7" s="1" t="s">
        <v>1875</v>
      </c>
      <c r="BK7" s="2" t="s">
        <v>1879</v>
      </c>
    </row>
    <row r="8" spans="1:75" ht="180" x14ac:dyDescent="0.45">
      <c r="A8" s="5">
        <v>7</v>
      </c>
      <c r="B8" s="8" t="s">
        <v>45</v>
      </c>
      <c r="C8" s="6" t="s">
        <v>1816</v>
      </c>
      <c r="D8" s="7" t="s">
        <v>9794</v>
      </c>
      <c r="E8" s="1" t="s">
        <v>46</v>
      </c>
      <c r="F8" s="1" t="s">
        <v>47</v>
      </c>
      <c r="G8" s="1"/>
      <c r="J8" s="1" t="s">
        <v>9795</v>
      </c>
      <c r="K8" s="2" t="s">
        <v>7136</v>
      </c>
      <c r="L8" s="4" t="s">
        <v>7956</v>
      </c>
      <c r="M8" s="2"/>
      <c r="P8" s="7" t="s">
        <v>1241</v>
      </c>
      <c r="Q8" s="16" t="str">
        <f>INDEX($L:$L, MATCH("desire", $B:$B, 0))</f>
        <v>&lt;span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v>
      </c>
      <c r="AI8" s="15"/>
      <c r="AK8" s="15"/>
      <c r="AL8" s="15"/>
      <c r="AU8" s="15"/>
      <c r="AV8" s="1" t="s">
        <v>1502</v>
      </c>
      <c r="AW8" s="2"/>
      <c r="AY8" s="2"/>
      <c r="AZ8" s="2"/>
      <c r="BG8" s="7" t="s">
        <v>1503</v>
      </c>
      <c r="BH8" s="1" t="s">
        <v>1947</v>
      </c>
      <c r="BI8" s="2" t="s">
        <v>1880</v>
      </c>
      <c r="BJ8" s="1" t="s">
        <v>1504</v>
      </c>
      <c r="BK8" s="2" t="s">
        <v>1881</v>
      </c>
      <c r="BL8" s="1" t="s">
        <v>1875</v>
      </c>
      <c r="BM8" s="2" t="s">
        <v>1882</v>
      </c>
      <c r="BN8" s="1" t="s">
        <v>1883</v>
      </c>
      <c r="BO8" s="2" t="s">
        <v>1884</v>
      </c>
    </row>
    <row r="9" spans="1:75" ht="180" x14ac:dyDescent="0.45">
      <c r="A9" s="5">
        <v>8</v>
      </c>
      <c r="B9" s="8" t="s">
        <v>48</v>
      </c>
      <c r="C9" s="6" t="s">
        <v>1816</v>
      </c>
      <c r="D9" s="7" t="s">
        <v>9794</v>
      </c>
      <c r="E9" s="1" t="s">
        <v>49</v>
      </c>
      <c r="F9" s="1" t="s">
        <v>50</v>
      </c>
      <c r="G9" s="1"/>
      <c r="J9" s="1" t="s">
        <v>9795</v>
      </c>
      <c r="K9" s="1" t="s">
        <v>1238</v>
      </c>
      <c r="L9" s="4" t="s">
        <v>10691</v>
      </c>
      <c r="P9" s="7" t="s">
        <v>1241</v>
      </c>
      <c r="Q9" s="15"/>
      <c r="AI9" s="15"/>
      <c r="AL9" s="15"/>
      <c r="AU9" s="15"/>
      <c r="AV9" s="1" t="s">
        <v>1502</v>
      </c>
      <c r="AW9" s="2" t="s">
        <v>12279</v>
      </c>
      <c r="AZ9" s="2"/>
      <c r="BG9" s="7" t="s">
        <v>1503</v>
      </c>
      <c r="BH9" s="1" t="s">
        <v>1947</v>
      </c>
      <c r="BI9" s="2" t="s">
        <v>1885</v>
      </c>
      <c r="BJ9" s="1" t="s">
        <v>1504</v>
      </c>
      <c r="BK9" s="2" t="s">
        <v>1886</v>
      </c>
      <c r="BL9" s="1" t="s">
        <v>1869</v>
      </c>
      <c r="BM9" s="2" t="s">
        <v>1887</v>
      </c>
      <c r="BN9" s="1" t="s">
        <v>1875</v>
      </c>
      <c r="BO9" s="2" t="s">
        <v>1888</v>
      </c>
    </row>
    <row r="10" spans="1:75" ht="360" x14ac:dyDescent="0.45">
      <c r="A10" s="5">
        <v>9</v>
      </c>
      <c r="B10" s="8" t="s">
        <v>51</v>
      </c>
      <c r="C10" s="6" t="s">
        <v>1816</v>
      </c>
      <c r="D10" s="7" t="s">
        <v>9794</v>
      </c>
      <c r="E10" s="1" t="s">
        <v>8885</v>
      </c>
      <c r="F10" s="1" t="s">
        <v>8886</v>
      </c>
      <c r="G10" s="1"/>
      <c r="J10" s="1" t="s">
        <v>9795</v>
      </c>
      <c r="K10" s="2" t="s">
        <v>7174</v>
      </c>
      <c r="L10" s="3" t="s">
        <v>7957</v>
      </c>
      <c r="P10" s="7" t="s">
        <v>1241</v>
      </c>
      <c r="Q10" s="14"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R10" s="13" t="str">
        <f>INDEX($L:$L, MATCH("register", $B:$B, 0))</f>
        <v>&lt;span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v>
      </c>
      <c r="AI10" s="15"/>
      <c r="AJ10" s="15"/>
      <c r="AK10" s="15"/>
      <c r="AL10" s="15"/>
      <c r="AO10" s="15"/>
      <c r="AP10" s="15"/>
      <c r="AU10" s="15"/>
      <c r="AV10" s="1" t="s">
        <v>1502</v>
      </c>
      <c r="AW10" s="2" t="s">
        <v>12280</v>
      </c>
      <c r="AX10" s="2" t="s">
        <v>12281</v>
      </c>
      <c r="AY10" s="2"/>
      <c r="AZ10" s="2"/>
      <c r="BC10" s="2"/>
      <c r="BD10" s="2"/>
      <c r="BG10" s="7" t="s">
        <v>1503</v>
      </c>
      <c r="BH10" s="1" t="s">
        <v>1947</v>
      </c>
      <c r="BI10" s="2" t="s">
        <v>1889</v>
      </c>
      <c r="BJ10" s="1" t="s">
        <v>1877</v>
      </c>
      <c r="BK10" s="2" t="s">
        <v>7231</v>
      </c>
    </row>
    <row r="11" spans="1:75" ht="216" x14ac:dyDescent="0.45">
      <c r="A11" s="5">
        <v>10</v>
      </c>
      <c r="B11" s="8" t="s">
        <v>1400</v>
      </c>
      <c r="C11" s="6" t="s">
        <v>1816</v>
      </c>
      <c r="D11" s="7" t="s">
        <v>9794</v>
      </c>
      <c r="E11" s="1" t="s">
        <v>31</v>
      </c>
      <c r="F11" s="1" t="s">
        <v>6798</v>
      </c>
      <c r="G11" s="1"/>
      <c r="J11" s="1" t="s">
        <v>9795</v>
      </c>
      <c r="K11" s="2" t="s">
        <v>7175</v>
      </c>
      <c r="L11" s="4" t="s">
        <v>7958</v>
      </c>
      <c r="M11" s="1" t="s">
        <v>12167</v>
      </c>
      <c r="P11" s="7" t="s">
        <v>1241</v>
      </c>
      <c r="Q11" s="14"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R11" s="14"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S11" s="14"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T11" s="14"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U11" s="14"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AI11" s="15"/>
      <c r="AK11" s="15"/>
      <c r="AM11" s="15"/>
      <c r="AU11" s="15"/>
      <c r="AV11" s="1" t="s">
        <v>1502</v>
      </c>
      <c r="AW11" s="2"/>
      <c r="AY11" s="2"/>
      <c r="BA11" s="2"/>
      <c r="BG11" s="7" t="s">
        <v>1503</v>
      </c>
      <c r="BH11" s="1" t="s">
        <v>1947</v>
      </c>
      <c r="BI11" s="2" t="s">
        <v>1890</v>
      </c>
      <c r="BJ11" s="1" t="s">
        <v>1875</v>
      </c>
      <c r="BK11" s="2" t="s">
        <v>1950</v>
      </c>
      <c r="BL11" s="1" t="s">
        <v>1883</v>
      </c>
      <c r="BM11" s="2" t="s">
        <v>1891</v>
      </c>
    </row>
    <row r="12" spans="1:75" ht="342" x14ac:dyDescent="0.45">
      <c r="A12" s="5">
        <v>11</v>
      </c>
      <c r="B12" s="8" t="s">
        <v>1401</v>
      </c>
      <c r="C12" s="6" t="s">
        <v>1816</v>
      </c>
      <c r="D12" s="7" t="s">
        <v>9794</v>
      </c>
      <c r="E12" s="1" t="s">
        <v>1327</v>
      </c>
      <c r="F12" s="1" t="s">
        <v>6622</v>
      </c>
      <c r="G12" s="1"/>
      <c r="J12" s="1" t="s">
        <v>9795</v>
      </c>
      <c r="K12" s="2" t="s">
        <v>7137</v>
      </c>
      <c r="L12" s="2" t="s">
        <v>12282</v>
      </c>
      <c r="M12" s="1" t="s">
        <v>12168</v>
      </c>
      <c r="P12" s="7" t="s">
        <v>1241</v>
      </c>
      <c r="Q12" s="14" t="str">
        <f>INDEX($L:$L, MATCH("precise", $B:$B, 0))</f>
        <v>&lt;span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v>
      </c>
      <c r="R12" s="14" t="str">
        <f>INDEX($L:$L, MATCH("suicide", $B:$B, 0))</f>
        <v>&lt;span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切る）からは、decide（決断する）・precise（正確な）・concise（簡潔な）も生まれている。いずれも「切る」が核となっている。
&lt;span class="spacer"&gt;&lt;/span&gt;suicideは、self（自身を）＋cide（切る, 殺す）と考えればよい。&lt;/span&gt;</v>
      </c>
      <c r="S12" s="13" t="str">
        <f>INDEX($L:$L, MATCH("pesticide", $B:$B, 0))</f>
        <v>&lt;span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v>
      </c>
      <c r="AI12" s="15"/>
      <c r="AJ12" s="15"/>
      <c r="AK12" s="15"/>
      <c r="AL12" s="15"/>
      <c r="AU12" s="15"/>
      <c r="AV12" s="1" t="s">
        <v>1502</v>
      </c>
      <c r="AW12" s="2"/>
      <c r="AX12" s="2"/>
      <c r="AY12" s="2"/>
      <c r="AZ12" s="2"/>
      <c r="BG12" s="7" t="s">
        <v>1503</v>
      </c>
      <c r="BH12" s="1" t="s">
        <v>1947</v>
      </c>
      <c r="BI12" s="2" t="s">
        <v>1951</v>
      </c>
      <c r="BJ12" s="1" t="s">
        <v>1504</v>
      </c>
      <c r="BK12" s="1" t="s">
        <v>1952</v>
      </c>
      <c r="BL12" s="1" t="s">
        <v>1875</v>
      </c>
      <c r="BM12" s="2" t="s">
        <v>1953</v>
      </c>
      <c r="BN12" s="1" t="s">
        <v>1883</v>
      </c>
      <c r="BO12" s="2" t="s">
        <v>1954</v>
      </c>
    </row>
    <row r="13" spans="1:75" ht="409.6" x14ac:dyDescent="0.45">
      <c r="A13" s="5">
        <v>12</v>
      </c>
      <c r="B13" s="8" t="s">
        <v>1402</v>
      </c>
      <c r="C13" s="6" t="s">
        <v>1816</v>
      </c>
      <c r="D13" s="7" t="s">
        <v>9794</v>
      </c>
      <c r="E13" s="1" t="s">
        <v>1249</v>
      </c>
      <c r="F13" s="1" t="s">
        <v>1250</v>
      </c>
      <c r="G13" s="1"/>
      <c r="J13" s="1" t="s">
        <v>9795</v>
      </c>
      <c r="K13" s="2" t="s">
        <v>7176</v>
      </c>
      <c r="L13" s="4" t="s">
        <v>7959</v>
      </c>
      <c r="M13" s="1" t="s">
        <v>12169</v>
      </c>
      <c r="P13" s="7" t="s">
        <v>1241</v>
      </c>
      <c r="Q13" s="1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R13" s="1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S13" s="1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T13" s="1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U13" s="13"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V13" s="13"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13" s="17"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13"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I13" s="15"/>
      <c r="AJ13" s="15"/>
      <c r="AK13" s="15"/>
      <c r="AL13" s="15"/>
      <c r="AN13" s="15"/>
      <c r="AO13" s="15"/>
      <c r="AP13" s="15"/>
      <c r="AU13" s="15"/>
      <c r="AV13" s="1" t="s">
        <v>1502</v>
      </c>
      <c r="AW13" s="2"/>
      <c r="AX13" s="2"/>
      <c r="AY13" s="2"/>
      <c r="AZ13" s="2"/>
      <c r="BB13" s="2"/>
      <c r="BC13" s="2"/>
      <c r="BD13" s="2"/>
      <c r="BG13" s="7" t="s">
        <v>1503</v>
      </c>
      <c r="BH13" s="1" t="s">
        <v>1947</v>
      </c>
      <c r="BI13" s="2" t="s">
        <v>7138</v>
      </c>
      <c r="BJ13" s="1" t="s">
        <v>1872</v>
      </c>
      <c r="BK13" s="1" t="s">
        <v>1955</v>
      </c>
      <c r="BL13" s="1" t="s">
        <v>1875</v>
      </c>
      <c r="BM13" s="1" t="s">
        <v>1956</v>
      </c>
      <c r="BN13" s="1" t="s">
        <v>1877</v>
      </c>
      <c r="BO13" s="2" t="s">
        <v>1957</v>
      </c>
    </row>
    <row r="14" spans="1:75" ht="180" x14ac:dyDescent="0.45">
      <c r="A14" s="5">
        <v>13</v>
      </c>
      <c r="B14" s="8" t="s">
        <v>1403</v>
      </c>
      <c r="C14" s="6" t="s">
        <v>1816</v>
      </c>
      <c r="D14" s="7" t="s">
        <v>9794</v>
      </c>
      <c r="E14" s="1" t="s">
        <v>1251</v>
      </c>
      <c r="F14" s="1" t="s">
        <v>1252</v>
      </c>
      <c r="G14" s="1"/>
      <c r="J14" s="1" t="s">
        <v>9795</v>
      </c>
      <c r="K14" s="2" t="s">
        <v>7139</v>
      </c>
      <c r="L14" s="4" t="s">
        <v>7960</v>
      </c>
      <c r="M14" s="1" t="s">
        <v>12170</v>
      </c>
      <c r="P14" s="7" t="s">
        <v>1241</v>
      </c>
      <c r="Q14" s="14"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R14" s="13"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v>
      </c>
      <c r="S14" s="13"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T14" s="13"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AU14" s="15"/>
      <c r="AV14" s="1" t="s">
        <v>1502</v>
      </c>
      <c r="BG14" s="7" t="s">
        <v>1503</v>
      </c>
      <c r="BH14" s="1" t="s">
        <v>1947</v>
      </c>
      <c r="BI14" s="2" t="s">
        <v>1958</v>
      </c>
      <c r="BJ14" s="1" t="s">
        <v>1959</v>
      </c>
      <c r="BK14" s="1" t="s">
        <v>1960</v>
      </c>
      <c r="BL14" s="1" t="s">
        <v>1875</v>
      </c>
      <c r="BM14" s="2" t="s">
        <v>1961</v>
      </c>
      <c r="BN14" s="1" t="s">
        <v>1877</v>
      </c>
      <c r="BO14" s="2" t="s">
        <v>1962</v>
      </c>
    </row>
    <row r="15" spans="1:75" ht="90" x14ac:dyDescent="0.45">
      <c r="A15" s="5">
        <v>14</v>
      </c>
      <c r="B15" s="8" t="s">
        <v>52</v>
      </c>
      <c r="C15" s="6" t="s">
        <v>1816</v>
      </c>
      <c r="D15" s="7" t="s">
        <v>9794</v>
      </c>
      <c r="E15" s="1" t="s">
        <v>52</v>
      </c>
      <c r="F15" s="1"/>
      <c r="G15" s="1"/>
      <c r="J15" s="1" t="s">
        <v>9795</v>
      </c>
      <c r="K15" s="2" t="s">
        <v>7140</v>
      </c>
      <c r="L15" s="9" t="s">
        <v>7961</v>
      </c>
      <c r="P15" s="7" t="s">
        <v>1241</v>
      </c>
      <c r="AI15" s="15"/>
      <c r="AV15" s="1" t="s">
        <v>1502</v>
      </c>
      <c r="AW15" s="2"/>
      <c r="BG15" s="7" t="s">
        <v>1503</v>
      </c>
      <c r="BH15" s="1" t="s">
        <v>1872</v>
      </c>
      <c r="BI15" s="1" t="s">
        <v>1963</v>
      </c>
      <c r="BJ15" s="1" t="s">
        <v>1875</v>
      </c>
      <c r="BK15" s="1" t="s">
        <v>1964</v>
      </c>
      <c r="BL15" s="1" t="s">
        <v>1877</v>
      </c>
      <c r="BM15" s="2" t="s">
        <v>1965</v>
      </c>
    </row>
    <row r="16" spans="1:75" ht="216" x14ac:dyDescent="0.45">
      <c r="A16" s="5">
        <v>15</v>
      </c>
      <c r="B16" s="8" t="s">
        <v>53</v>
      </c>
      <c r="C16" s="6" t="s">
        <v>1816</v>
      </c>
      <c r="D16" s="7" t="s">
        <v>9794</v>
      </c>
      <c r="E16" s="1" t="s">
        <v>53</v>
      </c>
      <c r="F16" s="1"/>
      <c r="G16" s="1"/>
      <c r="J16" s="1" t="s">
        <v>9795</v>
      </c>
      <c r="K16" s="2" t="s">
        <v>7177</v>
      </c>
      <c r="L16" s="9" t="s">
        <v>11654</v>
      </c>
      <c r="P16" s="7" t="s">
        <v>1241</v>
      </c>
      <c r="AI16" s="15"/>
      <c r="AU16" s="15"/>
      <c r="AV16" s="1" t="s">
        <v>1502</v>
      </c>
      <c r="AW16" s="2" t="s">
        <v>7962</v>
      </c>
      <c r="BG16" s="7" t="s">
        <v>1503</v>
      </c>
      <c r="BH16" s="1" t="s">
        <v>2254</v>
      </c>
      <c r="BI16" s="2" t="s">
        <v>2262</v>
      </c>
      <c r="BJ16" s="1" t="s">
        <v>1947</v>
      </c>
      <c r="BK16" s="2" t="s">
        <v>1966</v>
      </c>
      <c r="BL16" s="1" t="s">
        <v>1967</v>
      </c>
      <c r="BM16" s="1" t="s">
        <v>1968</v>
      </c>
      <c r="BN16" s="1" t="s">
        <v>1959</v>
      </c>
      <c r="BO16" s="1" t="s">
        <v>1969</v>
      </c>
      <c r="BP16" s="1" t="s">
        <v>1875</v>
      </c>
      <c r="BQ16" s="2" t="s">
        <v>1970</v>
      </c>
      <c r="BR16" s="1" t="s">
        <v>1877</v>
      </c>
      <c r="BS16" s="2" t="s">
        <v>1971</v>
      </c>
    </row>
    <row r="17" spans="1:71" ht="252" x14ac:dyDescent="0.45">
      <c r="A17" s="5">
        <v>16</v>
      </c>
      <c r="B17" s="8" t="s">
        <v>54</v>
      </c>
      <c r="C17" s="6" t="s">
        <v>1816</v>
      </c>
      <c r="D17" s="7" t="s">
        <v>9794</v>
      </c>
      <c r="E17" s="1" t="s">
        <v>54</v>
      </c>
      <c r="F17" s="1"/>
      <c r="G17" s="1"/>
      <c r="J17" s="1" t="s">
        <v>9795</v>
      </c>
      <c r="K17" s="2" t="s">
        <v>7141</v>
      </c>
      <c r="L17" s="4" t="s">
        <v>7963</v>
      </c>
      <c r="M17" s="1" t="s">
        <v>12171</v>
      </c>
      <c r="P17" s="7" t="s">
        <v>1241</v>
      </c>
      <c r="Q17" s="14"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R17" s="14"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S17" s="14"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T17" s="14"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U17"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V17" s="14"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I17" s="15"/>
      <c r="AU17" s="15"/>
      <c r="AV17" s="1" t="s">
        <v>1502</v>
      </c>
      <c r="AW17" s="2" t="s">
        <v>7964</v>
      </c>
      <c r="BG17" s="7" t="s">
        <v>1503</v>
      </c>
      <c r="BH17" s="1" t="s">
        <v>1947</v>
      </c>
      <c r="BI17" s="2" t="s">
        <v>1972</v>
      </c>
      <c r="BJ17" s="1" t="s">
        <v>1959</v>
      </c>
      <c r="BK17" s="1" t="s">
        <v>1973</v>
      </c>
      <c r="BL17" s="1" t="s">
        <v>1875</v>
      </c>
      <c r="BM17" s="2" t="s">
        <v>1974</v>
      </c>
      <c r="BN17" s="1" t="s">
        <v>1877</v>
      </c>
      <c r="BO17" s="1" t="s">
        <v>1975</v>
      </c>
    </row>
    <row r="18" spans="1:71" ht="252" x14ac:dyDescent="0.45">
      <c r="A18" s="5">
        <v>17</v>
      </c>
      <c r="B18" s="8" t="s">
        <v>55</v>
      </c>
      <c r="C18" s="6" t="s">
        <v>1816</v>
      </c>
      <c r="D18" s="7" t="s">
        <v>9794</v>
      </c>
      <c r="E18" s="1" t="s">
        <v>46</v>
      </c>
      <c r="F18" s="1" t="s">
        <v>8887</v>
      </c>
      <c r="G18" s="1"/>
      <c r="J18" s="1" t="s">
        <v>9795</v>
      </c>
      <c r="K18" s="2" t="s">
        <v>7178</v>
      </c>
      <c r="L18" s="3" t="s">
        <v>8625</v>
      </c>
      <c r="M18" s="1" t="s">
        <v>12172</v>
      </c>
      <c r="P18" s="7" t="s">
        <v>1241</v>
      </c>
      <c r="Q18" s="14" t="str">
        <f>INDEX($L:$L, MATCH("certain", $B:$B, 0))</f>
        <v>&lt;span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v>
      </c>
      <c r="R18" s="14"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AI18" s="15"/>
      <c r="AJ18" s="15"/>
      <c r="AV18" s="1" t="s">
        <v>1502</v>
      </c>
      <c r="AW18" s="2" t="s">
        <v>7965</v>
      </c>
      <c r="AX18" s="2" t="s">
        <v>7966</v>
      </c>
      <c r="BG18" s="7" t="s">
        <v>1503</v>
      </c>
      <c r="BH18" s="1" t="s">
        <v>1976</v>
      </c>
      <c r="BI18" s="1" t="s">
        <v>1977</v>
      </c>
      <c r="BJ18" s="1" t="s">
        <v>1947</v>
      </c>
      <c r="BK18" s="2" t="s">
        <v>1979</v>
      </c>
      <c r="BL18" s="1" t="s">
        <v>1980</v>
      </c>
      <c r="BM18" s="1" t="s">
        <v>1981</v>
      </c>
      <c r="BN18" s="1" t="s">
        <v>1959</v>
      </c>
      <c r="BO18" s="1" t="s">
        <v>1982</v>
      </c>
      <c r="BP18" s="1" t="s">
        <v>1875</v>
      </c>
      <c r="BQ18" s="2" t="s">
        <v>1983</v>
      </c>
      <c r="BR18" s="1" t="s">
        <v>1877</v>
      </c>
      <c r="BS18" s="2" t="s">
        <v>1984</v>
      </c>
    </row>
    <row r="19" spans="1:71" ht="216" x14ac:dyDescent="0.45">
      <c r="A19" s="5">
        <v>18</v>
      </c>
      <c r="B19" s="8" t="s">
        <v>56</v>
      </c>
      <c r="C19" s="6" t="s">
        <v>1816</v>
      </c>
      <c r="D19" s="7" t="s">
        <v>9794</v>
      </c>
      <c r="E19" s="1" t="s">
        <v>1327</v>
      </c>
      <c r="F19" s="1" t="s">
        <v>8888</v>
      </c>
      <c r="G19" s="1"/>
      <c r="J19" s="1" t="s">
        <v>9795</v>
      </c>
      <c r="K19" s="2" t="s">
        <v>7179</v>
      </c>
      <c r="L19" s="3" t="s">
        <v>10500</v>
      </c>
      <c r="M19" s="1" t="s">
        <v>12173</v>
      </c>
      <c r="P19" s="7" t="s">
        <v>1241</v>
      </c>
      <c r="Q19" s="14" t="str">
        <f>INDEX($L:$L, MATCH("script", $B:$B, 0))</f>
        <v>&lt;span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v>
      </c>
      <c r="R19" s="15"/>
      <c r="S19" s="15"/>
      <c r="AI19" s="15"/>
      <c r="AU19" s="15"/>
      <c r="AV19" s="1" t="s">
        <v>1502</v>
      </c>
      <c r="AW19" s="2" t="s">
        <v>7967</v>
      </c>
      <c r="BG19" s="7" t="s">
        <v>1503</v>
      </c>
      <c r="BH19" s="1" t="s">
        <v>2034</v>
      </c>
      <c r="BI19" s="2" t="s">
        <v>1985</v>
      </c>
      <c r="BJ19" s="1" t="s">
        <v>1959</v>
      </c>
      <c r="BK19" s="1" t="s">
        <v>1986</v>
      </c>
      <c r="BL19" s="1" t="s">
        <v>1875</v>
      </c>
      <c r="BM19" s="2" t="s">
        <v>1987</v>
      </c>
    </row>
    <row r="20" spans="1:71" ht="162" x14ac:dyDescent="0.45">
      <c r="A20" s="5">
        <v>19</v>
      </c>
      <c r="B20" s="8" t="s">
        <v>57</v>
      </c>
      <c r="C20" s="6" t="s">
        <v>1816</v>
      </c>
      <c r="D20" s="7" t="s">
        <v>9794</v>
      </c>
      <c r="E20" s="1" t="s">
        <v>27</v>
      </c>
      <c r="F20" s="1" t="s">
        <v>8889</v>
      </c>
      <c r="G20" s="1"/>
      <c r="J20" s="1" t="s">
        <v>9795</v>
      </c>
      <c r="K20" s="2" t="s">
        <v>7180</v>
      </c>
      <c r="L20" s="3" t="s">
        <v>7968</v>
      </c>
      <c r="M20" s="1" t="s">
        <v>12174</v>
      </c>
      <c r="P20" s="7" t="s">
        <v>1241</v>
      </c>
      <c r="Q20" s="14"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R20" s="13"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AI20" s="15"/>
      <c r="AU20" s="15"/>
      <c r="AV20" s="1" t="s">
        <v>1502</v>
      </c>
      <c r="AW20" s="2" t="s">
        <v>7969</v>
      </c>
      <c r="BG20" s="7" t="s">
        <v>1503</v>
      </c>
      <c r="BH20" s="1" t="s">
        <v>1947</v>
      </c>
      <c r="BI20" s="2" t="s">
        <v>7560</v>
      </c>
      <c r="BJ20" s="1" t="s">
        <v>1959</v>
      </c>
      <c r="BK20" s="1" t="s">
        <v>1988</v>
      </c>
      <c r="BL20" s="1" t="s">
        <v>1875</v>
      </c>
      <c r="BM20" s="2" t="s">
        <v>1989</v>
      </c>
    </row>
    <row r="21" spans="1:71" ht="216" x14ac:dyDescent="0.45">
      <c r="A21" s="5">
        <v>20</v>
      </c>
      <c r="B21" s="8" t="s">
        <v>58</v>
      </c>
      <c r="C21" s="6" t="s">
        <v>1816</v>
      </c>
      <c r="D21" s="7" t="s">
        <v>9794</v>
      </c>
      <c r="E21" s="1" t="s">
        <v>1251</v>
      </c>
      <c r="F21" s="1" t="s">
        <v>6798</v>
      </c>
      <c r="G21" s="1"/>
      <c r="J21" s="1" t="s">
        <v>9795</v>
      </c>
      <c r="K21" s="2" t="s">
        <v>7181</v>
      </c>
      <c r="L21" s="4" t="s">
        <v>7970</v>
      </c>
      <c r="M21" s="1" t="s">
        <v>12167</v>
      </c>
      <c r="P21" s="7" t="s">
        <v>1241</v>
      </c>
      <c r="Q21" s="14"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21" s="14"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S21" s="14"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T21" s="14"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U21" s="14"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AU21" s="15"/>
      <c r="AV21" s="1" t="s">
        <v>1502</v>
      </c>
      <c r="BG21" s="7" t="s">
        <v>1503</v>
      </c>
      <c r="BH21" s="1" t="s">
        <v>1947</v>
      </c>
      <c r="BI21" s="2" t="s">
        <v>1990</v>
      </c>
      <c r="BJ21" s="1" t="s">
        <v>1959</v>
      </c>
      <c r="BK21" s="1" t="s">
        <v>1991</v>
      </c>
      <c r="BL21" s="1" t="s">
        <v>1875</v>
      </c>
      <c r="BM21" s="2" t="s">
        <v>2479</v>
      </c>
      <c r="BN21" s="1" t="s">
        <v>1877</v>
      </c>
      <c r="BO21" s="2" t="s">
        <v>1992</v>
      </c>
    </row>
    <row r="22" spans="1:71" ht="306" x14ac:dyDescent="0.45">
      <c r="A22" s="5">
        <v>21</v>
      </c>
      <c r="B22" s="8" t="s">
        <v>59</v>
      </c>
      <c r="C22" s="6" t="s">
        <v>1816</v>
      </c>
      <c r="D22" s="7" t="s">
        <v>9794</v>
      </c>
      <c r="E22" s="1" t="s">
        <v>1327</v>
      </c>
      <c r="F22" s="1" t="s">
        <v>4313</v>
      </c>
      <c r="G22" s="1"/>
      <c r="J22" s="1" t="s">
        <v>9795</v>
      </c>
      <c r="K22" s="2" t="s">
        <v>7182</v>
      </c>
      <c r="L22" s="4" t="s">
        <v>7971</v>
      </c>
      <c r="M22" s="1" t="s">
        <v>12175</v>
      </c>
      <c r="P22" s="7" t="s">
        <v>1241</v>
      </c>
      <c r="Q22" s="13"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R22" s="14"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S22" s="14"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22" s="13" t="str">
        <f>INDEX($L:$L, MATCH("designate", $B:$B, 0))</f>
        <v>&lt;span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v>
      </c>
      <c r="U22" s="13"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U22" s="15"/>
      <c r="AV22" s="1" t="s">
        <v>1502</v>
      </c>
      <c r="BG22" s="7" t="s">
        <v>1503</v>
      </c>
      <c r="BH22" s="1" t="s">
        <v>1947</v>
      </c>
      <c r="BI22" s="2" t="s">
        <v>1993</v>
      </c>
      <c r="BJ22" s="1" t="s">
        <v>1994</v>
      </c>
      <c r="BK22" s="2" t="s">
        <v>1995</v>
      </c>
      <c r="BL22" s="1" t="s">
        <v>1996</v>
      </c>
      <c r="BM22" s="2" t="s">
        <v>1997</v>
      </c>
      <c r="BN22" s="1" t="s">
        <v>1875</v>
      </c>
      <c r="BO22" s="2" t="s">
        <v>1998</v>
      </c>
      <c r="BP22" s="1" t="s">
        <v>1877</v>
      </c>
      <c r="BQ22" s="2" t="s">
        <v>1999</v>
      </c>
    </row>
    <row r="23" spans="1:71" ht="90" x14ac:dyDescent="0.45">
      <c r="A23" s="5">
        <v>22</v>
      </c>
      <c r="B23" s="8" t="s">
        <v>60</v>
      </c>
      <c r="C23" s="6" t="s">
        <v>1816</v>
      </c>
      <c r="D23" s="7" t="s">
        <v>9794</v>
      </c>
      <c r="E23" s="1" t="s">
        <v>60</v>
      </c>
      <c r="F23" s="1"/>
      <c r="G23" s="1"/>
      <c r="J23" s="1" t="s">
        <v>9795</v>
      </c>
      <c r="K23" s="2"/>
      <c r="L23" s="9" t="s">
        <v>7972</v>
      </c>
      <c r="M23" s="1" t="s">
        <v>12176</v>
      </c>
      <c r="P23" s="7" t="s">
        <v>1241</v>
      </c>
      <c r="Q23" s="13"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R23" s="13" t="str">
        <f>INDEX($L:$L, MATCH("enforce", $B:$B, 0))</f>
        <v>&lt;span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v>
      </c>
      <c r="S23" s="13"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AU23" s="15"/>
      <c r="AV23" s="1" t="s">
        <v>1502</v>
      </c>
      <c r="BG23" s="7" t="s">
        <v>1503</v>
      </c>
      <c r="BH23" s="1" t="s">
        <v>1947</v>
      </c>
      <c r="BI23" s="2" t="s">
        <v>2000</v>
      </c>
      <c r="BJ23" s="1" t="s">
        <v>1959</v>
      </c>
      <c r="BK23" s="2" t="s">
        <v>2001</v>
      </c>
      <c r="BL23" s="1" t="s">
        <v>1875</v>
      </c>
      <c r="BM23" s="2" t="s">
        <v>2002</v>
      </c>
    </row>
    <row r="24" spans="1:71" ht="72" x14ac:dyDescent="0.45">
      <c r="A24" s="5">
        <v>23</v>
      </c>
      <c r="B24" s="8" t="s">
        <v>61</v>
      </c>
      <c r="C24" s="6" t="s">
        <v>1816</v>
      </c>
      <c r="D24" s="7" t="s">
        <v>9794</v>
      </c>
      <c r="E24" s="1" t="s">
        <v>61</v>
      </c>
      <c r="F24" s="1"/>
      <c r="G24" s="1"/>
      <c r="J24" s="1" t="s">
        <v>9795</v>
      </c>
      <c r="K24" s="2" t="s">
        <v>7183</v>
      </c>
      <c r="L24" s="9" t="s">
        <v>7973</v>
      </c>
      <c r="P24" s="7" t="s">
        <v>1241</v>
      </c>
      <c r="Q24" s="13" t="str">
        <f>INDEX($L:$L, MATCH("eliminate", $B:$B, 0))</f>
        <v>&lt;span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v>
      </c>
      <c r="AV24" s="1" t="s">
        <v>1502</v>
      </c>
      <c r="BG24" s="7" t="s">
        <v>1503</v>
      </c>
      <c r="BH24" s="1" t="s">
        <v>1947</v>
      </c>
      <c r="BI24" s="1" t="s">
        <v>2003</v>
      </c>
      <c r="BJ24" s="1" t="s">
        <v>1959</v>
      </c>
      <c r="BK24" s="1" t="s">
        <v>2004</v>
      </c>
      <c r="BL24" s="1" t="s">
        <v>1875</v>
      </c>
      <c r="BM24" s="2" t="s">
        <v>2005</v>
      </c>
    </row>
    <row r="25" spans="1:71" ht="162" x14ac:dyDescent="0.45">
      <c r="A25" s="5">
        <v>24</v>
      </c>
      <c r="B25" s="8" t="s">
        <v>62</v>
      </c>
      <c r="C25" s="6" t="s">
        <v>1816</v>
      </c>
      <c r="D25" s="7" t="s">
        <v>9794</v>
      </c>
      <c r="E25" s="1" t="s">
        <v>62</v>
      </c>
      <c r="F25" s="1"/>
      <c r="G25" s="1"/>
      <c r="J25" s="1" t="s">
        <v>9795</v>
      </c>
      <c r="K25" s="2" t="s">
        <v>7142</v>
      </c>
      <c r="L25" s="9" t="s">
        <v>10467</v>
      </c>
      <c r="P25" s="7" t="s">
        <v>1241</v>
      </c>
      <c r="Q25" s="13"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I25" s="15"/>
      <c r="AV25" s="1" t="s">
        <v>1502</v>
      </c>
      <c r="AW25" s="2" t="s">
        <v>7974</v>
      </c>
      <c r="BG25" s="7" t="s">
        <v>1503</v>
      </c>
      <c r="BH25" s="1" t="s">
        <v>1872</v>
      </c>
      <c r="BI25" s="1" t="s">
        <v>2006</v>
      </c>
      <c r="BJ25" s="1" t="s">
        <v>1877</v>
      </c>
      <c r="BK25" s="2" t="s">
        <v>2007</v>
      </c>
    </row>
    <row r="26" spans="1:71" ht="216" x14ac:dyDescent="0.45">
      <c r="A26" s="5">
        <v>25</v>
      </c>
      <c r="B26" s="8" t="s">
        <v>63</v>
      </c>
      <c r="C26" s="6" t="s">
        <v>1816</v>
      </c>
      <c r="D26" s="7" t="s">
        <v>9794</v>
      </c>
      <c r="E26" s="1" t="s">
        <v>1622</v>
      </c>
      <c r="F26" s="1" t="s">
        <v>4826</v>
      </c>
      <c r="G26" s="1"/>
      <c r="J26" s="1" t="s">
        <v>9795</v>
      </c>
      <c r="K26" s="2" t="s">
        <v>7184</v>
      </c>
      <c r="L26" s="4" t="s">
        <v>7975</v>
      </c>
      <c r="M26" s="1" t="s">
        <v>12177</v>
      </c>
      <c r="P26" s="7" t="s">
        <v>1241</v>
      </c>
      <c r="Q26" s="14"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R26" s="13"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S26" s="13"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T26" s="13"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26" s="13"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I26" s="15"/>
      <c r="AU26" s="15"/>
      <c r="AV26" s="1" t="s">
        <v>1502</v>
      </c>
      <c r="AW26" s="2" t="s">
        <v>7976</v>
      </c>
      <c r="BG26" s="7" t="s">
        <v>1503</v>
      </c>
      <c r="BH26" s="1" t="s">
        <v>1947</v>
      </c>
      <c r="BI26" s="2" t="s">
        <v>2008</v>
      </c>
      <c r="BJ26" s="1" t="s">
        <v>1875</v>
      </c>
      <c r="BK26" s="1" t="s">
        <v>2009</v>
      </c>
      <c r="BL26" s="1" t="s">
        <v>1883</v>
      </c>
      <c r="BM26" s="2" t="s">
        <v>2010</v>
      </c>
    </row>
    <row r="27" spans="1:71" ht="270" x14ac:dyDescent="0.45">
      <c r="A27" s="5">
        <v>26</v>
      </c>
      <c r="B27" s="8" t="s">
        <v>64</v>
      </c>
      <c r="C27" s="6" t="s">
        <v>1816</v>
      </c>
      <c r="D27" s="7" t="s">
        <v>9794</v>
      </c>
      <c r="E27" s="1" t="s">
        <v>64</v>
      </c>
      <c r="F27" s="1"/>
      <c r="G27" s="1"/>
      <c r="J27" s="1" t="s">
        <v>9795</v>
      </c>
      <c r="K27" s="2" t="s">
        <v>7185</v>
      </c>
      <c r="L27" s="9" t="s">
        <v>10692</v>
      </c>
      <c r="P27" s="7" t="s">
        <v>1241</v>
      </c>
      <c r="AI27" s="15"/>
      <c r="AJ27" s="15"/>
      <c r="AV27" s="1" t="s">
        <v>1502</v>
      </c>
      <c r="AW27" s="2" t="s">
        <v>7977</v>
      </c>
      <c r="AX27" s="2" t="s">
        <v>7978</v>
      </c>
      <c r="BG27" s="7" t="s">
        <v>1503</v>
      </c>
      <c r="BH27" s="1" t="s">
        <v>1872</v>
      </c>
      <c r="BI27" s="1" t="s">
        <v>2011</v>
      </c>
      <c r="BJ27" s="1" t="s">
        <v>1875</v>
      </c>
      <c r="BK27" s="2" t="s">
        <v>2012</v>
      </c>
      <c r="BL27" s="1" t="s">
        <v>1883</v>
      </c>
      <c r="BM27" s="2" t="s">
        <v>7143</v>
      </c>
      <c r="BN27" s="1" t="s">
        <v>3497</v>
      </c>
      <c r="BO27" s="2" t="s">
        <v>7144</v>
      </c>
    </row>
    <row r="28" spans="1:71" ht="198" x14ac:dyDescent="0.45">
      <c r="A28" s="5">
        <v>27</v>
      </c>
      <c r="B28" s="8" t="s">
        <v>65</v>
      </c>
      <c r="C28" s="6" t="s">
        <v>1816</v>
      </c>
      <c r="D28" s="7" t="s">
        <v>9794</v>
      </c>
      <c r="E28" s="1" t="s">
        <v>1621</v>
      </c>
      <c r="F28" s="1" t="s">
        <v>8890</v>
      </c>
      <c r="G28" s="1"/>
      <c r="J28" s="1" t="s">
        <v>9795</v>
      </c>
      <c r="K28" s="2" t="s">
        <v>7186</v>
      </c>
      <c r="L28" s="4" t="s">
        <v>7979</v>
      </c>
      <c r="P28" s="7" t="s">
        <v>1241</v>
      </c>
      <c r="Q28" s="14" t="str">
        <f>INDEX($L:$L, MATCH("vacuum", $B:$B, 0))</f>
        <v>&lt;span class="w"&gt;&lt;b&gt;【1473.vacuum：真空, 空虚, 掃除機】&lt;/b&gt;&lt;/span&gt;
&lt;span class="ml"&gt;ラテン語vacuus（空の, 占有されていない）に由来する。
&lt;span class="spacer"&gt;&lt;/span&gt;この語の核は「空っぽの空間」。もともとは何も存在しない「空虚」を意味したが、そこから物理学において空気のない「真空」という意味にもなった。
&lt;span class="spacer"&gt;&lt;/span&gt;また現代では、vacuum (cleaner)で「掃除機」を意味する。
&lt;span class="spacer"&gt;&lt;/span&gt;同じラテン語からはvacation（休暇）も生まれている。vacationは、仕事から離れて心身が空いている状態を表す。&lt;/span&gt;</v>
      </c>
      <c r="R28" s="15"/>
      <c r="S28" s="15"/>
      <c r="T28" s="15"/>
      <c r="U28" s="15"/>
      <c r="V28" s="15"/>
      <c r="AI28" s="15"/>
      <c r="AU28" s="15"/>
      <c r="AV28" s="1" t="s">
        <v>1502</v>
      </c>
      <c r="AW28" s="2" t="s">
        <v>7980</v>
      </c>
      <c r="BG28" s="7" t="s">
        <v>1503</v>
      </c>
      <c r="BH28" s="1" t="s">
        <v>1947</v>
      </c>
      <c r="BI28" s="2" t="s">
        <v>2013</v>
      </c>
      <c r="BJ28" s="1" t="s">
        <v>1959</v>
      </c>
      <c r="BK28" s="2" t="s">
        <v>2014</v>
      </c>
      <c r="BL28" s="1" t="s">
        <v>1869</v>
      </c>
      <c r="BM28" s="1" t="s">
        <v>2015</v>
      </c>
      <c r="BN28" s="1" t="s">
        <v>1875</v>
      </c>
      <c r="BO28" s="2" t="s">
        <v>2480</v>
      </c>
    </row>
    <row r="29" spans="1:71" ht="198" x14ac:dyDescent="0.45">
      <c r="A29" s="5">
        <v>28</v>
      </c>
      <c r="B29" s="8" t="s">
        <v>66</v>
      </c>
      <c r="C29" s="6" t="s">
        <v>1816</v>
      </c>
      <c r="D29" s="7" t="s">
        <v>9794</v>
      </c>
      <c r="E29" s="1" t="s">
        <v>1251</v>
      </c>
      <c r="F29" s="1" t="s">
        <v>8891</v>
      </c>
      <c r="G29" s="1"/>
      <c r="J29" s="1" t="s">
        <v>9795</v>
      </c>
      <c r="K29" s="2" t="s">
        <v>7264</v>
      </c>
      <c r="L29" s="3" t="s">
        <v>10445</v>
      </c>
      <c r="M29" s="1" t="s">
        <v>12178</v>
      </c>
      <c r="P29" s="7" t="s">
        <v>1241</v>
      </c>
      <c r="Q29" s="13"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R29" s="13"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S29" s="13"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T29" s="13"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I29" s="15"/>
      <c r="AU29" s="15"/>
      <c r="AV29" s="1" t="s">
        <v>1502</v>
      </c>
      <c r="AW29" s="2" t="s">
        <v>7981</v>
      </c>
      <c r="BG29" s="7" t="s">
        <v>1503</v>
      </c>
      <c r="BH29" s="1" t="s">
        <v>2034</v>
      </c>
      <c r="BI29" s="2" t="s">
        <v>2016</v>
      </c>
      <c r="BJ29" s="1" t="s">
        <v>2017</v>
      </c>
      <c r="BK29" s="1" t="s">
        <v>2018</v>
      </c>
      <c r="BL29" s="1" t="s">
        <v>1883</v>
      </c>
      <c r="BM29" s="2" t="s">
        <v>2019</v>
      </c>
    </row>
    <row r="30" spans="1:71" ht="108" x14ac:dyDescent="0.45">
      <c r="A30" s="5">
        <v>29</v>
      </c>
      <c r="B30" s="8" t="s">
        <v>67</v>
      </c>
      <c r="C30" s="6" t="s">
        <v>1816</v>
      </c>
      <c r="D30" s="7" t="s">
        <v>9794</v>
      </c>
      <c r="E30" s="1" t="s">
        <v>8892</v>
      </c>
      <c r="F30" s="1" t="s">
        <v>1519</v>
      </c>
      <c r="G30" s="1"/>
      <c r="J30" s="1" t="s">
        <v>9795</v>
      </c>
      <c r="K30" s="2" t="s">
        <v>7145</v>
      </c>
      <c r="L30" s="4" t="s">
        <v>7982</v>
      </c>
      <c r="P30" s="7" t="s">
        <v>1241</v>
      </c>
      <c r="S30" s="15"/>
      <c r="T30" s="15"/>
      <c r="U30" s="15"/>
      <c r="AU30" s="15"/>
      <c r="AV30" s="1" t="s">
        <v>1502</v>
      </c>
      <c r="BG30" s="7" t="s">
        <v>1503</v>
      </c>
      <c r="BH30" s="1" t="s">
        <v>1947</v>
      </c>
      <c r="BI30" s="2" t="s">
        <v>2020</v>
      </c>
      <c r="BJ30" s="1" t="s">
        <v>2021</v>
      </c>
      <c r="BK30" s="2" t="s">
        <v>2022</v>
      </c>
      <c r="BL30" s="1" t="s">
        <v>1883</v>
      </c>
      <c r="BM30" s="2" t="s">
        <v>2023</v>
      </c>
    </row>
    <row r="31" spans="1:71" ht="288" x14ac:dyDescent="0.45">
      <c r="A31" s="5">
        <v>30</v>
      </c>
      <c r="B31" s="8" t="s">
        <v>1516</v>
      </c>
      <c r="C31" s="6" t="s">
        <v>1816</v>
      </c>
      <c r="D31" s="7" t="s">
        <v>9794</v>
      </c>
      <c r="E31" s="1" t="s">
        <v>1447</v>
      </c>
      <c r="F31" s="1" t="s">
        <v>8893</v>
      </c>
      <c r="G31" s="1"/>
      <c r="J31" s="1" t="s">
        <v>9795</v>
      </c>
      <c r="K31" s="2" t="s">
        <v>7146</v>
      </c>
      <c r="L31" s="4" t="s">
        <v>7983</v>
      </c>
      <c r="M31" s="1" t="s">
        <v>12179</v>
      </c>
      <c r="P31" s="7" t="s">
        <v>1241</v>
      </c>
      <c r="Q31" s="14"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R31" s="14"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S31" s="14"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T31" s="14"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U31" s="15"/>
      <c r="V31" s="15"/>
      <c r="W31" s="15"/>
      <c r="X31" s="15"/>
      <c r="Y31" s="15"/>
      <c r="AV31" s="1" t="s">
        <v>1502</v>
      </c>
      <c r="BG31" s="7" t="s">
        <v>1503</v>
      </c>
      <c r="BH31" s="1" t="s">
        <v>1976</v>
      </c>
      <c r="BI31" s="1" t="s">
        <v>2024</v>
      </c>
      <c r="BJ31" s="1" t="s">
        <v>1947</v>
      </c>
      <c r="BK31" s="1" t="s">
        <v>2025</v>
      </c>
      <c r="BL31" s="1" t="s">
        <v>2026</v>
      </c>
      <c r="BM31" s="2" t="s">
        <v>2027</v>
      </c>
      <c r="BN31" s="1" t="s">
        <v>1959</v>
      </c>
      <c r="BO31" s="2" t="s">
        <v>2028</v>
      </c>
      <c r="BP31" s="1" t="s">
        <v>1875</v>
      </c>
      <c r="BQ31" s="2" t="s">
        <v>2029</v>
      </c>
    </row>
    <row r="32" spans="1:71" ht="180" x14ac:dyDescent="0.45">
      <c r="A32" s="5">
        <v>31</v>
      </c>
      <c r="B32" s="8" t="s">
        <v>1404</v>
      </c>
      <c r="C32" s="6" t="s">
        <v>1816</v>
      </c>
      <c r="D32" s="7" t="s">
        <v>9794</v>
      </c>
      <c r="E32" s="1" t="s">
        <v>1467</v>
      </c>
      <c r="F32" s="1" t="s">
        <v>8894</v>
      </c>
      <c r="G32" s="1"/>
      <c r="J32" s="1" t="s">
        <v>9795</v>
      </c>
      <c r="K32" s="2" t="s">
        <v>7187</v>
      </c>
      <c r="L32" s="3" t="s">
        <v>7984</v>
      </c>
      <c r="P32" s="7" t="s">
        <v>1241</v>
      </c>
      <c r="AU32" s="15"/>
      <c r="AV32" s="1" t="s">
        <v>1502</v>
      </c>
      <c r="BG32" s="7" t="s">
        <v>1503</v>
      </c>
      <c r="BH32" s="1" t="s">
        <v>1947</v>
      </c>
      <c r="BI32" s="2" t="s">
        <v>2030</v>
      </c>
      <c r="BJ32" s="1" t="s">
        <v>2031</v>
      </c>
      <c r="BK32" s="1" t="s">
        <v>2032</v>
      </c>
      <c r="BL32" s="1" t="s">
        <v>1875</v>
      </c>
      <c r="BM32" s="2" t="s">
        <v>2033</v>
      </c>
    </row>
    <row r="33" spans="1:69" ht="378" x14ac:dyDescent="0.45">
      <c r="A33" s="5">
        <v>32</v>
      </c>
      <c r="B33" s="8" t="s">
        <v>68</v>
      </c>
      <c r="C33" s="6" t="s">
        <v>1816</v>
      </c>
      <c r="D33" s="7" t="s">
        <v>9794</v>
      </c>
      <c r="E33" s="1" t="s">
        <v>68</v>
      </c>
      <c r="F33" s="1"/>
      <c r="G33" s="1"/>
      <c r="J33" s="1" t="s">
        <v>9795</v>
      </c>
      <c r="K33" s="2" t="s">
        <v>7147</v>
      </c>
      <c r="L33" s="9" t="s">
        <v>7985</v>
      </c>
      <c r="P33" s="7" t="s">
        <v>1241</v>
      </c>
      <c r="Q33" s="14" t="str">
        <f>INDEX($L:$L, MATCH("dimension", $B:$B, 0))</f>
        <v>&lt;span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v>
      </c>
      <c r="AU33" s="15"/>
      <c r="AV33" s="1" t="s">
        <v>1502</v>
      </c>
      <c r="BG33" s="7" t="s">
        <v>1503</v>
      </c>
      <c r="BH33" s="1" t="s">
        <v>2034</v>
      </c>
      <c r="BI33" s="2" t="s">
        <v>2035</v>
      </c>
      <c r="BJ33" s="1" t="s">
        <v>2036</v>
      </c>
      <c r="BK33" s="1" t="s">
        <v>2037</v>
      </c>
      <c r="BL33" s="1" t="s">
        <v>2031</v>
      </c>
      <c r="BM33" s="1" t="s">
        <v>2038</v>
      </c>
      <c r="BN33" s="1" t="s">
        <v>1875</v>
      </c>
      <c r="BO33" s="2" t="s">
        <v>2039</v>
      </c>
    </row>
    <row r="34" spans="1:69" ht="198" x14ac:dyDescent="0.45">
      <c r="A34" s="5">
        <v>33</v>
      </c>
      <c r="B34" s="8" t="s">
        <v>1264</v>
      </c>
      <c r="C34" s="6" t="s">
        <v>1816</v>
      </c>
      <c r="D34" s="7" t="s">
        <v>9794</v>
      </c>
      <c r="E34" s="1" t="s">
        <v>1413</v>
      </c>
      <c r="F34" s="1" t="s">
        <v>1687</v>
      </c>
      <c r="G34" s="1"/>
      <c r="J34" s="1" t="s">
        <v>9795</v>
      </c>
      <c r="K34" s="2" t="s">
        <v>7188</v>
      </c>
      <c r="L34" s="4" t="s">
        <v>10468</v>
      </c>
      <c r="M34" s="1" t="s">
        <v>12180</v>
      </c>
      <c r="P34" s="7" t="s">
        <v>1241</v>
      </c>
      <c r="Q34" s="14"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R34" s="14"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S34" s="14"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T34" s="13"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34" s="13"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U34" s="15"/>
      <c r="AV34" s="1" t="s">
        <v>1502</v>
      </c>
      <c r="BG34" s="7" t="s">
        <v>1503</v>
      </c>
      <c r="BH34" s="1" t="s">
        <v>2254</v>
      </c>
      <c r="BI34" s="2" t="s">
        <v>2262</v>
      </c>
      <c r="BJ34" s="1" t="s">
        <v>2034</v>
      </c>
      <c r="BK34" s="2" t="s">
        <v>2040</v>
      </c>
      <c r="BL34" s="1" t="s">
        <v>2017</v>
      </c>
      <c r="BM34" s="1" t="s">
        <v>2041</v>
      </c>
      <c r="BN34" s="1" t="s">
        <v>1877</v>
      </c>
      <c r="BO34" s="2" t="s">
        <v>2042</v>
      </c>
    </row>
    <row r="35" spans="1:69" ht="72" x14ac:dyDescent="0.45">
      <c r="A35" s="5">
        <v>34</v>
      </c>
      <c r="B35" s="8" t="s">
        <v>69</v>
      </c>
      <c r="C35" s="6" t="s">
        <v>1816</v>
      </c>
      <c r="D35" s="7" t="s">
        <v>9794</v>
      </c>
      <c r="E35" s="1" t="s">
        <v>69</v>
      </c>
      <c r="F35" s="1"/>
      <c r="G35" s="1"/>
      <c r="J35" s="1" t="s">
        <v>9795</v>
      </c>
      <c r="K35" s="2" t="s">
        <v>7148</v>
      </c>
      <c r="L35" s="9" t="s">
        <v>7986</v>
      </c>
      <c r="P35" s="7" t="s">
        <v>1241</v>
      </c>
      <c r="Q35" s="13" t="str">
        <f>INDEX($L:$L, MATCH("landmark", $B:$B, 0))</f>
        <v>&lt;span class="w"&gt;&lt;b&gt;【1476.landmark：（ある場所の）目印, 画期的な出来事】&lt;/b&gt;&lt;/span&gt;
&lt;span class="ml"&gt;古英語にさかのぼり、以下の2つの要素から成る。
&lt;span class="spacer"&gt;&lt;/span&gt;land（土地）
mearc（目印）
&lt;span class="spacer"&gt;&lt;/span&gt;もともとは、王国や領地の境目に置かれた物を表した（現在の日本の県境や市町村の境を示す標識のようなもの）。そこから境界を示すものに限らず、ある場所を象徴する「目印」という意味になった。
&lt;span class="spacer"&gt;&lt;/span&gt;さらに象徴的な土地の目印という実際の物から比喩的に、歴史における象徴的な「出来事」という意味にもなった。&lt;/span&gt;</v>
      </c>
      <c r="AU35" s="15"/>
      <c r="AV35" s="1" t="s">
        <v>1502</v>
      </c>
      <c r="BG35" s="7" t="s">
        <v>1503</v>
      </c>
      <c r="BH35" s="1" t="s">
        <v>1872</v>
      </c>
      <c r="BI35" s="2" t="s">
        <v>2043</v>
      </c>
      <c r="BJ35" s="1" t="s">
        <v>2044</v>
      </c>
      <c r="BK35" s="2" t="s">
        <v>2045</v>
      </c>
      <c r="BL35" s="1" t="s">
        <v>1883</v>
      </c>
      <c r="BM35" s="2" t="s">
        <v>2046</v>
      </c>
    </row>
    <row r="36" spans="1:69" ht="198" x14ac:dyDescent="0.45">
      <c r="A36" s="5">
        <v>35</v>
      </c>
      <c r="B36" s="8" t="s">
        <v>70</v>
      </c>
      <c r="C36" s="6" t="s">
        <v>1816</v>
      </c>
      <c r="D36" s="7" t="s">
        <v>9794</v>
      </c>
      <c r="E36" s="1" t="s">
        <v>70</v>
      </c>
      <c r="F36" s="1"/>
      <c r="G36" s="1"/>
      <c r="J36" s="1" t="s">
        <v>9795</v>
      </c>
      <c r="K36" s="2" t="s">
        <v>7149</v>
      </c>
      <c r="L36" s="9" t="s">
        <v>7987</v>
      </c>
      <c r="P36" s="7" t="s">
        <v>1241</v>
      </c>
      <c r="AU36" s="15"/>
      <c r="AV36" s="1" t="s">
        <v>1502</v>
      </c>
      <c r="BG36" s="7" t="s">
        <v>1503</v>
      </c>
      <c r="BH36" s="1" t="s">
        <v>2034</v>
      </c>
      <c r="BI36" s="2" t="s">
        <v>2047</v>
      </c>
      <c r="BJ36" s="1" t="s">
        <v>2048</v>
      </c>
      <c r="BK36" s="1" t="s">
        <v>2049</v>
      </c>
      <c r="BL36" s="1" t="s">
        <v>2031</v>
      </c>
      <c r="BM36" s="1" t="s">
        <v>2050</v>
      </c>
      <c r="BN36" s="1" t="s">
        <v>1875</v>
      </c>
      <c r="BO36" s="2" t="s">
        <v>2051</v>
      </c>
    </row>
    <row r="37" spans="1:69" ht="409.6" x14ac:dyDescent="0.45">
      <c r="A37" s="5">
        <v>36</v>
      </c>
      <c r="B37" s="8" t="s">
        <v>71</v>
      </c>
      <c r="C37" s="6" t="s">
        <v>1816</v>
      </c>
      <c r="D37" s="7" t="s">
        <v>9794</v>
      </c>
      <c r="E37" s="1" t="s">
        <v>1327</v>
      </c>
      <c r="F37" s="1" t="s">
        <v>6139</v>
      </c>
      <c r="G37" s="1"/>
      <c r="J37" s="1" t="s">
        <v>9795</v>
      </c>
      <c r="K37" s="2" t="s">
        <v>7150</v>
      </c>
      <c r="L37" s="3" t="s">
        <v>7988</v>
      </c>
      <c r="M37" s="1" t="s">
        <v>12181</v>
      </c>
      <c r="P37" s="7" t="s">
        <v>1241</v>
      </c>
      <c r="Q37" s="14"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R37" s="14"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S37" s="14"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T37" s="14"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U37" s="14"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37" s="14"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37" s="15"/>
      <c r="AU37" s="15"/>
      <c r="AV37" s="1" t="s">
        <v>1502</v>
      </c>
      <c r="BG37" s="7" t="s">
        <v>1503</v>
      </c>
      <c r="BH37" s="1" t="s">
        <v>2034</v>
      </c>
      <c r="BI37" s="2" t="s">
        <v>2052</v>
      </c>
      <c r="BJ37" s="1" t="s">
        <v>2031</v>
      </c>
      <c r="BK37" s="1" t="s">
        <v>2053</v>
      </c>
      <c r="BL37" s="1" t="s">
        <v>1875</v>
      </c>
      <c r="BM37" s="2" t="s">
        <v>7151</v>
      </c>
    </row>
    <row r="38" spans="1:69" ht="198" x14ac:dyDescent="0.45">
      <c r="A38" s="5">
        <v>37</v>
      </c>
      <c r="B38" s="8" t="s">
        <v>72</v>
      </c>
      <c r="C38" s="6" t="s">
        <v>1816</v>
      </c>
      <c r="D38" s="7" t="s">
        <v>9794</v>
      </c>
      <c r="E38" s="1" t="s">
        <v>1397</v>
      </c>
      <c r="F38" s="1" t="s">
        <v>8895</v>
      </c>
      <c r="G38" s="1"/>
      <c r="J38" s="1" t="s">
        <v>9795</v>
      </c>
      <c r="K38" s="2" t="s">
        <v>7189</v>
      </c>
      <c r="L38" s="3" t="s">
        <v>7989</v>
      </c>
      <c r="M38" s="1" t="s">
        <v>12182</v>
      </c>
      <c r="P38" s="7" t="s">
        <v>1241</v>
      </c>
      <c r="Q38" s="14"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R38" s="14"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S38" s="14"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AU38" s="15"/>
      <c r="AV38" s="1" t="s">
        <v>1502</v>
      </c>
      <c r="BG38" s="7" t="s">
        <v>1503</v>
      </c>
      <c r="BH38" s="1" t="s">
        <v>2034</v>
      </c>
      <c r="BI38" s="2" t="s">
        <v>2054</v>
      </c>
      <c r="BJ38" s="1" t="s">
        <v>2031</v>
      </c>
      <c r="BK38" s="1" t="s">
        <v>2055</v>
      </c>
      <c r="BL38" s="1" t="s">
        <v>1875</v>
      </c>
      <c r="BM38" s="2" t="s">
        <v>7152</v>
      </c>
    </row>
    <row r="39" spans="1:69" ht="126" x14ac:dyDescent="0.45">
      <c r="A39" s="5">
        <v>38</v>
      </c>
      <c r="B39" s="8" t="s">
        <v>73</v>
      </c>
      <c r="C39" s="6" t="s">
        <v>1816</v>
      </c>
      <c r="D39" s="7" t="s">
        <v>9794</v>
      </c>
      <c r="E39" s="1" t="s">
        <v>1327</v>
      </c>
      <c r="F39" s="1" t="s">
        <v>8896</v>
      </c>
      <c r="G39" s="1"/>
      <c r="J39" s="1" t="s">
        <v>9795</v>
      </c>
      <c r="K39" s="2" t="s">
        <v>7153</v>
      </c>
      <c r="L39" s="4" t="s">
        <v>12155</v>
      </c>
      <c r="P39" s="7" t="s">
        <v>1241</v>
      </c>
      <c r="Q39"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R39" s="13" t="str">
        <f>INDEX($L:$L, MATCH("recommend", $B:$B, 0))</f>
        <v>&lt;span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v>
      </c>
      <c r="AI39" s="15"/>
      <c r="AU39" s="15"/>
      <c r="AV39" s="1" t="s">
        <v>1502</v>
      </c>
      <c r="AW39" s="2" t="s">
        <v>7990</v>
      </c>
      <c r="BG39" s="7" t="s">
        <v>1503</v>
      </c>
      <c r="BH39" s="1" t="s">
        <v>2034</v>
      </c>
      <c r="BI39" s="2" t="s">
        <v>2056</v>
      </c>
      <c r="BJ39" s="1" t="s">
        <v>1967</v>
      </c>
      <c r="BK39" s="1" t="s">
        <v>2057</v>
      </c>
      <c r="BL39" s="1" t="s">
        <v>2031</v>
      </c>
      <c r="BM39" s="1" t="s">
        <v>2058</v>
      </c>
      <c r="BN39" s="1" t="s">
        <v>1875</v>
      </c>
      <c r="BO39" s="2" t="s">
        <v>2059</v>
      </c>
      <c r="BP39" s="1" t="s">
        <v>1865</v>
      </c>
      <c r="BQ39" s="2" t="s">
        <v>2060</v>
      </c>
    </row>
    <row r="40" spans="1:69" ht="216" x14ac:dyDescent="0.45">
      <c r="A40" s="5">
        <v>39</v>
      </c>
      <c r="B40" s="8" t="s">
        <v>74</v>
      </c>
      <c r="C40" s="6" t="s">
        <v>1816</v>
      </c>
      <c r="D40" s="7" t="s">
        <v>9794</v>
      </c>
      <c r="E40" s="1" t="s">
        <v>74</v>
      </c>
      <c r="F40" s="1"/>
      <c r="G40" s="1"/>
      <c r="J40" s="1" t="s">
        <v>9795</v>
      </c>
      <c r="K40" s="2" t="s">
        <v>7154</v>
      </c>
      <c r="L40" s="4" t="s">
        <v>7991</v>
      </c>
      <c r="M40" s="1" t="s">
        <v>12183</v>
      </c>
      <c r="P40" s="7" t="s">
        <v>1241</v>
      </c>
      <c r="Q40" s="14" t="str">
        <f>INDEX($L:$L, MATCH("fund", $B:$B, 0))</f>
        <v>&lt;span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v>
      </c>
      <c r="R40" s="14" t="str">
        <f>INDEX($L:$L, MATCH("fundamental", $B:$B, 0))</f>
        <v>&lt;span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v>
      </c>
      <c r="S40" s="13" t="str">
        <f>INDEX($L:$L, MATCH("profound", $B:$B, 0))</f>
        <v>&lt;span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v>
      </c>
      <c r="AU40" s="15"/>
      <c r="AV40" s="1" t="s">
        <v>1502</v>
      </c>
      <c r="BG40" s="7" t="s">
        <v>1503</v>
      </c>
      <c r="BH40" s="1" t="s">
        <v>2034</v>
      </c>
      <c r="BI40" s="2" t="s">
        <v>2061</v>
      </c>
      <c r="BJ40" s="1" t="s">
        <v>2031</v>
      </c>
      <c r="BK40" s="1" t="s">
        <v>2062</v>
      </c>
      <c r="BL40" s="1" t="s">
        <v>1875</v>
      </c>
      <c r="BM40" s="2" t="s">
        <v>2063</v>
      </c>
    </row>
    <row r="41" spans="1:69" ht="180" x14ac:dyDescent="0.45">
      <c r="A41" s="5">
        <v>40</v>
      </c>
      <c r="B41" s="8" t="s">
        <v>75</v>
      </c>
      <c r="C41" s="6" t="s">
        <v>1816</v>
      </c>
      <c r="D41" s="7" t="s">
        <v>9794</v>
      </c>
      <c r="E41" s="1" t="s">
        <v>1467</v>
      </c>
      <c r="F41" s="1" t="s">
        <v>8897</v>
      </c>
      <c r="G41" s="1"/>
      <c r="J41" s="1" t="s">
        <v>9795</v>
      </c>
      <c r="K41" s="2" t="s">
        <v>7155</v>
      </c>
      <c r="L41" s="4" t="s">
        <v>7992</v>
      </c>
      <c r="M41" s="1" t="s">
        <v>12184</v>
      </c>
      <c r="P41" s="7" t="s">
        <v>1241</v>
      </c>
      <c r="Q41" s="14"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41" s="13"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S41" s="13"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T41" s="13"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41" s="13"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U41" s="15"/>
      <c r="AV41" s="1" t="s">
        <v>1502</v>
      </c>
      <c r="BG41" s="7" t="s">
        <v>1503</v>
      </c>
      <c r="BH41" s="1" t="s">
        <v>2034</v>
      </c>
      <c r="BI41" s="2" t="s">
        <v>2064</v>
      </c>
      <c r="BJ41" s="1" t="s">
        <v>2031</v>
      </c>
      <c r="BK41" s="1" t="s">
        <v>2065</v>
      </c>
      <c r="BL41" s="1" t="s">
        <v>1875</v>
      </c>
      <c r="BM41" s="2" t="s">
        <v>2066</v>
      </c>
    </row>
    <row r="42" spans="1:69" ht="234" x14ac:dyDescent="0.45">
      <c r="A42" s="5">
        <v>41</v>
      </c>
      <c r="B42" s="8" t="s">
        <v>76</v>
      </c>
      <c r="C42" s="6" t="s">
        <v>6851</v>
      </c>
      <c r="D42" s="7" t="s">
        <v>9794</v>
      </c>
      <c r="E42" s="1" t="s">
        <v>76</v>
      </c>
      <c r="F42" s="1"/>
      <c r="G42" s="1"/>
      <c r="J42" s="1" t="s">
        <v>9795</v>
      </c>
      <c r="K42" s="2" t="s">
        <v>2067</v>
      </c>
      <c r="L42" s="4" t="s">
        <v>7993</v>
      </c>
      <c r="P42" s="7" t="s">
        <v>1241</v>
      </c>
      <c r="Q42" s="13"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AU42" s="15"/>
      <c r="AV42" s="1" t="s">
        <v>1502</v>
      </c>
      <c r="BG42" s="7" t="s">
        <v>1503</v>
      </c>
      <c r="BH42" s="1" t="s">
        <v>2068</v>
      </c>
      <c r="BI42" s="2" t="s">
        <v>2069</v>
      </c>
      <c r="BJ42" s="1" t="s">
        <v>2070</v>
      </c>
      <c r="BK42" s="1" t="s">
        <v>2071</v>
      </c>
      <c r="BL42" s="1" t="s">
        <v>1237</v>
      </c>
      <c r="BM42" s="2" t="s">
        <v>2072</v>
      </c>
      <c r="BN42" s="1" t="s">
        <v>1875</v>
      </c>
      <c r="BO42" s="2" t="s">
        <v>2073</v>
      </c>
      <c r="BP42" s="1" t="s">
        <v>1865</v>
      </c>
      <c r="BQ42" s="2" t="s">
        <v>2074</v>
      </c>
    </row>
    <row r="43" spans="1:69" ht="396" x14ac:dyDescent="0.45">
      <c r="A43" s="5">
        <v>42</v>
      </c>
      <c r="B43" s="8" t="s">
        <v>77</v>
      </c>
      <c r="C43" s="6" t="s">
        <v>6851</v>
      </c>
      <c r="D43" s="7" t="s">
        <v>9794</v>
      </c>
      <c r="E43" s="1" t="s">
        <v>1346</v>
      </c>
      <c r="F43" s="1" t="s">
        <v>8898</v>
      </c>
      <c r="G43" s="1"/>
      <c r="J43" s="1" t="s">
        <v>9795</v>
      </c>
      <c r="K43" s="2" t="s">
        <v>7190</v>
      </c>
      <c r="L43" s="3" t="s">
        <v>10144</v>
      </c>
      <c r="M43" s="1" t="s">
        <v>12179</v>
      </c>
      <c r="P43" s="7" t="s">
        <v>1241</v>
      </c>
      <c r="Q43" s="13"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R43" s="14"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S43" s="14"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T43" s="13"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AI43" s="15"/>
      <c r="AJ43" s="15"/>
      <c r="AV43" s="1" t="s">
        <v>1502</v>
      </c>
      <c r="AW43" s="2" t="s">
        <v>7994</v>
      </c>
      <c r="AX43" s="2" t="s">
        <v>7995</v>
      </c>
      <c r="BG43" s="7" t="s">
        <v>1503</v>
      </c>
      <c r="BH43" s="1" t="s">
        <v>1976</v>
      </c>
      <c r="BI43" s="1" t="s">
        <v>2024</v>
      </c>
      <c r="BJ43" s="1" t="s">
        <v>2034</v>
      </c>
      <c r="BK43" s="1" t="s">
        <v>2075</v>
      </c>
      <c r="BL43" s="1" t="s">
        <v>2048</v>
      </c>
      <c r="BM43" s="1" t="s">
        <v>2076</v>
      </c>
      <c r="BN43" s="1" t="s">
        <v>2031</v>
      </c>
      <c r="BO43" s="2" t="s">
        <v>2077</v>
      </c>
      <c r="BP43" s="1" t="s">
        <v>1875</v>
      </c>
      <c r="BQ43" s="2" t="s">
        <v>2078</v>
      </c>
    </row>
    <row r="44" spans="1:69" ht="162" x14ac:dyDescent="0.45">
      <c r="A44" s="5">
        <v>43</v>
      </c>
      <c r="B44" s="8" t="s">
        <v>1557</v>
      </c>
      <c r="C44" s="6" t="s">
        <v>6851</v>
      </c>
      <c r="D44" s="7" t="s">
        <v>9794</v>
      </c>
      <c r="E44" s="1" t="s">
        <v>1467</v>
      </c>
      <c r="F44" s="1" t="s">
        <v>4230</v>
      </c>
      <c r="G44" s="1"/>
      <c r="J44" s="1" t="s">
        <v>9795</v>
      </c>
      <c r="K44" s="2" t="s">
        <v>7191</v>
      </c>
      <c r="L44" s="9" t="s">
        <v>10703</v>
      </c>
      <c r="P44" s="7" t="s">
        <v>1241</v>
      </c>
      <c r="Q44" s="13" t="str">
        <f>INDEX($L:$L, MATCH("accompany", $B:$B, 0))</f>
        <v>&lt;span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v>
      </c>
      <c r="AV44" s="1" t="s">
        <v>1502</v>
      </c>
      <c r="BG44" s="7" t="s">
        <v>1503</v>
      </c>
      <c r="BH44" s="1" t="s">
        <v>2034</v>
      </c>
      <c r="BI44" s="1" t="s">
        <v>2079</v>
      </c>
      <c r="BJ44" s="1" t="s">
        <v>2036</v>
      </c>
      <c r="BK44" s="1" t="s">
        <v>2080</v>
      </c>
      <c r="BL44" s="1" t="s">
        <v>2031</v>
      </c>
      <c r="BM44" s="1" t="s">
        <v>2081</v>
      </c>
      <c r="BN44" s="1" t="s">
        <v>1875</v>
      </c>
      <c r="BO44" s="2" t="s">
        <v>2082</v>
      </c>
      <c r="BP44" s="1" t="s">
        <v>1865</v>
      </c>
      <c r="BQ44" s="2" t="s">
        <v>2083</v>
      </c>
    </row>
    <row r="45" spans="1:69" ht="234" x14ac:dyDescent="0.45">
      <c r="A45" s="5">
        <v>44</v>
      </c>
      <c r="B45" s="8" t="s">
        <v>78</v>
      </c>
      <c r="C45" s="6" t="s">
        <v>6851</v>
      </c>
      <c r="D45" s="7" t="s">
        <v>9794</v>
      </c>
      <c r="E45" s="1" t="s">
        <v>1730</v>
      </c>
      <c r="F45" s="1" t="s">
        <v>8899</v>
      </c>
      <c r="G45" s="1"/>
      <c r="J45" s="1" t="s">
        <v>9795</v>
      </c>
      <c r="K45" s="2" t="s">
        <v>7156</v>
      </c>
      <c r="L45" s="4" t="s">
        <v>7996</v>
      </c>
      <c r="P45" s="7" t="s">
        <v>1241</v>
      </c>
      <c r="Q45" s="14" t="str">
        <f>INDEX($L:$L, MATCH("essential", $B:$B, 0))</f>
        <v>&lt;span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v>
      </c>
      <c r="R45" s="14" t="str">
        <f>INDEX($L:$L, MATCH("represent", $B:$B, 0))</f>
        <v>&lt;span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v>
      </c>
      <c r="S45" s="14" t="str">
        <f>INDEX($L:$L, MATCH("presence", $B:$B, 0))</f>
        <v>&lt;span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v>
      </c>
      <c r="AU45" s="15"/>
      <c r="AV45" s="1" t="s">
        <v>1502</v>
      </c>
      <c r="BG45" s="7" t="s">
        <v>1503</v>
      </c>
      <c r="BH45" s="1" t="s">
        <v>2034</v>
      </c>
      <c r="BI45" s="2" t="s">
        <v>2084</v>
      </c>
      <c r="BJ45" s="1" t="s">
        <v>2031</v>
      </c>
      <c r="BK45" s="1" t="s">
        <v>2085</v>
      </c>
      <c r="BL45" s="1" t="s">
        <v>1875</v>
      </c>
      <c r="BM45" s="2" t="s">
        <v>2086</v>
      </c>
      <c r="BN45" s="1" t="s">
        <v>1865</v>
      </c>
      <c r="BO45" s="2" t="s">
        <v>2087</v>
      </c>
    </row>
    <row r="46" spans="1:69" ht="162" x14ac:dyDescent="0.45">
      <c r="A46" s="5">
        <v>45</v>
      </c>
      <c r="B46" s="8" t="s">
        <v>79</v>
      </c>
      <c r="C46" s="6" t="s">
        <v>6851</v>
      </c>
      <c r="D46" s="7" t="s">
        <v>9794</v>
      </c>
      <c r="E46" s="1" t="s">
        <v>1251</v>
      </c>
      <c r="F46" s="1" t="s">
        <v>108</v>
      </c>
      <c r="G46" s="1"/>
      <c r="J46" s="1" t="s">
        <v>9795</v>
      </c>
      <c r="K46" s="2" t="s">
        <v>7157</v>
      </c>
      <c r="L46" s="4" t="s">
        <v>7997</v>
      </c>
      <c r="P46" s="7" t="s">
        <v>1241</v>
      </c>
      <c r="Q46" s="13" t="str">
        <f>INDEX($L:$L, MATCH("search", $B:$B, 0))</f>
        <v>&lt;span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v>
      </c>
      <c r="AU46" s="15"/>
      <c r="AV46" s="1" t="s">
        <v>1502</v>
      </c>
      <c r="BG46" s="7" t="s">
        <v>1503</v>
      </c>
      <c r="BH46" s="1" t="s">
        <v>2034</v>
      </c>
      <c r="BI46" s="2" t="s">
        <v>2088</v>
      </c>
      <c r="BJ46" s="1" t="s">
        <v>2036</v>
      </c>
      <c r="BK46" s="1" t="s">
        <v>2089</v>
      </c>
      <c r="BL46" s="1" t="s">
        <v>2031</v>
      </c>
      <c r="BM46" s="2" t="s">
        <v>2090</v>
      </c>
      <c r="BN46" s="1" t="s">
        <v>2017</v>
      </c>
      <c r="BO46" s="2" t="s">
        <v>7158</v>
      </c>
      <c r="BP46" s="1" t="s">
        <v>1865</v>
      </c>
      <c r="BQ46" s="2" t="s">
        <v>7159</v>
      </c>
    </row>
    <row r="47" spans="1:69" ht="180" x14ac:dyDescent="0.45">
      <c r="A47" s="5">
        <v>46</v>
      </c>
      <c r="B47" s="8" t="s">
        <v>80</v>
      </c>
      <c r="C47" s="6" t="s">
        <v>6851</v>
      </c>
      <c r="D47" s="7" t="s">
        <v>9794</v>
      </c>
      <c r="E47" s="1" t="s">
        <v>80</v>
      </c>
      <c r="F47" s="1"/>
      <c r="G47" s="1"/>
      <c r="J47" s="1" t="s">
        <v>9795</v>
      </c>
      <c r="K47" s="2" t="s">
        <v>7160</v>
      </c>
      <c r="L47" s="9" t="s">
        <v>7998</v>
      </c>
      <c r="P47" s="7" t="s">
        <v>1241</v>
      </c>
      <c r="Q47" s="13" t="str">
        <f>INDEX($L:$L, MATCH("accuse", $B:$B, 0))</f>
        <v>&lt;span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v>
      </c>
      <c r="AV47" s="1" t="s">
        <v>1502</v>
      </c>
      <c r="BG47" s="7" t="s">
        <v>1503</v>
      </c>
      <c r="BH47" s="1" t="s">
        <v>1978</v>
      </c>
      <c r="BI47" s="1" t="s">
        <v>2091</v>
      </c>
      <c r="BJ47" s="1" t="s">
        <v>1959</v>
      </c>
      <c r="BK47" s="1" t="s">
        <v>2092</v>
      </c>
      <c r="BL47" s="1" t="s">
        <v>1875</v>
      </c>
      <c r="BM47" s="2" t="s">
        <v>7161</v>
      </c>
    </row>
    <row r="48" spans="1:69" ht="198" x14ac:dyDescent="0.45">
      <c r="A48" s="5">
        <v>47</v>
      </c>
      <c r="B48" s="8" t="s">
        <v>81</v>
      </c>
      <c r="C48" s="6" t="s">
        <v>6851</v>
      </c>
      <c r="D48" s="7" t="s">
        <v>9794</v>
      </c>
      <c r="E48" s="1" t="s">
        <v>7162</v>
      </c>
      <c r="F48" s="1" t="s">
        <v>6428</v>
      </c>
      <c r="G48" s="1"/>
      <c r="J48" s="1" t="s">
        <v>9795</v>
      </c>
      <c r="K48" s="2" t="s">
        <v>7192</v>
      </c>
      <c r="L48" s="2" t="s">
        <v>7999</v>
      </c>
      <c r="M48" s="1" t="s">
        <v>12185</v>
      </c>
      <c r="P48" s="7" t="s">
        <v>1241</v>
      </c>
      <c r="Q48" s="14" t="str">
        <f>INDEX($L:$L, MATCH("ratio", $B:$B, 0))</f>
        <v>&lt;span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v>
      </c>
      <c r="R48" s="13" t="str">
        <f>INDEX($L:$L, MATCH("rational", $B:$B, 0))</f>
        <v>&lt;span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v>
      </c>
      <c r="AU48" s="15"/>
      <c r="AV48" s="1" t="s">
        <v>1502</v>
      </c>
      <c r="BG48" s="7" t="s">
        <v>1503</v>
      </c>
      <c r="BH48" s="1" t="s">
        <v>2034</v>
      </c>
      <c r="BI48" s="2" t="s">
        <v>2093</v>
      </c>
      <c r="BJ48" s="1" t="s">
        <v>2031</v>
      </c>
      <c r="BK48" s="1" t="s">
        <v>7163</v>
      </c>
      <c r="BL48" s="1" t="s">
        <v>2094</v>
      </c>
      <c r="BM48" s="1" t="s">
        <v>2095</v>
      </c>
      <c r="BN48" s="1" t="s">
        <v>1875</v>
      </c>
      <c r="BO48" s="2" t="s">
        <v>2096</v>
      </c>
    </row>
    <row r="49" spans="1:71" ht="216" x14ac:dyDescent="0.45">
      <c r="A49" s="5">
        <v>48</v>
      </c>
      <c r="B49" s="8" t="s">
        <v>1263</v>
      </c>
      <c r="C49" s="6" t="s">
        <v>6851</v>
      </c>
      <c r="D49" s="7" t="s">
        <v>9794</v>
      </c>
      <c r="E49" s="1" t="s">
        <v>1444</v>
      </c>
      <c r="F49" s="1" t="s">
        <v>4826</v>
      </c>
      <c r="G49" s="1"/>
      <c r="J49" s="1" t="s">
        <v>9795</v>
      </c>
      <c r="K49" s="2" t="s">
        <v>7193</v>
      </c>
      <c r="L49" s="4" t="s">
        <v>8000</v>
      </c>
      <c r="M49" s="1" t="s">
        <v>12177</v>
      </c>
      <c r="P49" s="7" t="s">
        <v>1241</v>
      </c>
      <c r="Q49" s="14"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49" s="13"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S49" s="13"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T49" s="13"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49" s="13"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I49" s="15"/>
      <c r="AU49" s="15"/>
      <c r="AV49" s="1" t="s">
        <v>1502</v>
      </c>
      <c r="AW49" s="2" t="s">
        <v>7976</v>
      </c>
      <c r="BG49" s="7" t="s">
        <v>1503</v>
      </c>
      <c r="BH49" s="1" t="s">
        <v>2034</v>
      </c>
      <c r="BI49" s="2" t="s">
        <v>2097</v>
      </c>
      <c r="BJ49" s="1" t="s">
        <v>2031</v>
      </c>
      <c r="BK49" s="1" t="s">
        <v>2098</v>
      </c>
      <c r="BL49" s="1" t="s">
        <v>1875</v>
      </c>
      <c r="BM49" s="2" t="s">
        <v>2481</v>
      </c>
      <c r="BN49" s="1" t="s">
        <v>1865</v>
      </c>
      <c r="BO49" s="2" t="s">
        <v>2099</v>
      </c>
    </row>
    <row r="50" spans="1:71" ht="126" x14ac:dyDescent="0.45">
      <c r="A50" s="5">
        <v>49</v>
      </c>
      <c r="B50" s="8" t="s">
        <v>82</v>
      </c>
      <c r="C50" s="6" t="s">
        <v>6851</v>
      </c>
      <c r="D50" s="7" t="s">
        <v>9794</v>
      </c>
      <c r="E50" s="1" t="s">
        <v>27</v>
      </c>
      <c r="F50" s="1" t="s">
        <v>6241</v>
      </c>
      <c r="G50" s="1" t="s">
        <v>1895</v>
      </c>
      <c r="J50" s="1" t="s">
        <v>9795</v>
      </c>
      <c r="K50" s="2" t="s">
        <v>7164</v>
      </c>
      <c r="L50" s="9" t="s">
        <v>8001</v>
      </c>
      <c r="M50" s="1" t="s">
        <v>12186</v>
      </c>
      <c r="P50" s="7" t="s">
        <v>1241</v>
      </c>
      <c r="Q50" s="14" t="str">
        <f>INDEX($L:$L, MATCH("flow", $B:$B, 0))</f>
        <v>&lt;span class="w"&gt;&lt;b&gt;【334.flow：流れる, 生じる】&lt;/b&gt;&lt;/span&gt;
&lt;span class="ml"&gt;印欧祖語*pleu-（流れる, 流動する）に由来する。
&lt;span class="spacer"&gt;&lt;/span&gt;印欧祖語から意味の変化はほとんどない。&lt;/span&gt;</v>
      </c>
      <c r="R50" s="13"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S50" s="13"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T50" s="13"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U50" s="13"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AU50" s="15"/>
      <c r="AV50" s="1" t="s">
        <v>1502</v>
      </c>
      <c r="BG50" s="7" t="s">
        <v>1503</v>
      </c>
      <c r="BH50" s="1" t="s">
        <v>2034</v>
      </c>
      <c r="BI50" s="2" t="s">
        <v>2100</v>
      </c>
      <c r="BJ50" s="1" t="s">
        <v>1967</v>
      </c>
      <c r="BK50" s="2" t="s">
        <v>2101</v>
      </c>
      <c r="BL50" s="1" t="s">
        <v>2031</v>
      </c>
      <c r="BM50" s="1" t="s">
        <v>2102</v>
      </c>
      <c r="BN50" s="1" t="s">
        <v>1875</v>
      </c>
      <c r="BO50" s="2" t="s">
        <v>7165</v>
      </c>
      <c r="BP50" s="1" t="s">
        <v>1865</v>
      </c>
      <c r="BQ50" s="2" t="s">
        <v>2103</v>
      </c>
    </row>
    <row r="51" spans="1:71" ht="90" x14ac:dyDescent="0.45">
      <c r="A51" s="5">
        <v>50</v>
      </c>
      <c r="B51" s="8" t="s">
        <v>1892</v>
      </c>
      <c r="C51" s="6" t="s">
        <v>6851</v>
      </c>
      <c r="D51" s="7" t="s">
        <v>9794</v>
      </c>
      <c r="E51" s="1" t="s">
        <v>7166</v>
      </c>
      <c r="F51" s="1" t="s">
        <v>1584</v>
      </c>
      <c r="G51" s="1"/>
      <c r="J51" s="1" t="s">
        <v>9795</v>
      </c>
      <c r="K51" s="2" t="s">
        <v>7167</v>
      </c>
      <c r="L51" s="4" t="s">
        <v>8002</v>
      </c>
      <c r="P51" s="7" t="s">
        <v>1241</v>
      </c>
      <c r="AU51" s="15"/>
      <c r="AV51" s="1" t="s">
        <v>1502</v>
      </c>
      <c r="BG51" s="7" t="s">
        <v>1503</v>
      </c>
      <c r="BH51" s="1" t="s">
        <v>2034</v>
      </c>
      <c r="BI51" s="2" t="s">
        <v>2104</v>
      </c>
      <c r="BJ51" s="1" t="s">
        <v>1967</v>
      </c>
      <c r="BK51" s="2" t="s">
        <v>2105</v>
      </c>
      <c r="BL51" s="1" t="s">
        <v>2031</v>
      </c>
      <c r="BM51" s="1" t="s">
        <v>2106</v>
      </c>
      <c r="BN51" s="1" t="s">
        <v>1875</v>
      </c>
      <c r="BO51" s="2" t="s">
        <v>7168</v>
      </c>
      <c r="BP51" s="1" t="s">
        <v>1865</v>
      </c>
      <c r="BQ51" s="2" t="s">
        <v>2107</v>
      </c>
    </row>
    <row r="52" spans="1:71" ht="216" x14ac:dyDescent="0.45">
      <c r="A52" s="5">
        <v>51</v>
      </c>
      <c r="B52" s="8" t="s">
        <v>1266</v>
      </c>
      <c r="C52" s="6" t="s">
        <v>6851</v>
      </c>
      <c r="D52" s="7" t="s">
        <v>9794</v>
      </c>
      <c r="E52" s="1" t="s">
        <v>1447</v>
      </c>
      <c r="F52" s="1" t="s">
        <v>8900</v>
      </c>
      <c r="G52" s="1" t="s">
        <v>1517</v>
      </c>
      <c r="J52" s="1" t="s">
        <v>9795</v>
      </c>
      <c r="K52" s="2" t="s">
        <v>7194</v>
      </c>
      <c r="L52" s="3" t="s">
        <v>8003</v>
      </c>
      <c r="P52" s="7" t="s">
        <v>1241</v>
      </c>
      <c r="AU52" s="15"/>
      <c r="AV52" s="1" t="s">
        <v>1502</v>
      </c>
      <c r="BG52" s="7" t="s">
        <v>1503</v>
      </c>
      <c r="BH52" s="1" t="s">
        <v>1504</v>
      </c>
      <c r="BI52" s="2" t="s">
        <v>2108</v>
      </c>
      <c r="BJ52" s="1" t="s">
        <v>1875</v>
      </c>
      <c r="BK52" s="2" t="s">
        <v>2109</v>
      </c>
      <c r="BL52" s="1" t="s">
        <v>1883</v>
      </c>
      <c r="BM52" s="2" t="s">
        <v>7169</v>
      </c>
    </row>
    <row r="53" spans="1:71" ht="108" x14ac:dyDescent="0.45">
      <c r="A53" s="5">
        <v>52</v>
      </c>
      <c r="B53" s="8" t="s">
        <v>83</v>
      </c>
      <c r="C53" s="6" t="s">
        <v>6851</v>
      </c>
      <c r="D53" s="7" t="s">
        <v>9794</v>
      </c>
      <c r="E53" s="1" t="s">
        <v>83</v>
      </c>
      <c r="F53" s="1"/>
      <c r="G53" s="1"/>
      <c r="J53" s="1" t="s">
        <v>9795</v>
      </c>
      <c r="K53" s="2" t="s">
        <v>7195</v>
      </c>
      <c r="L53" s="9" t="s">
        <v>8004</v>
      </c>
      <c r="P53" s="7" t="s">
        <v>1241</v>
      </c>
      <c r="AV53" s="1" t="s">
        <v>1502</v>
      </c>
      <c r="BG53" s="7" t="s">
        <v>1503</v>
      </c>
      <c r="BH53" s="1" t="s">
        <v>2110</v>
      </c>
      <c r="BI53" s="1" t="s">
        <v>2111</v>
      </c>
      <c r="BJ53" s="1" t="s">
        <v>1875</v>
      </c>
      <c r="BK53" s="2" t="s">
        <v>2482</v>
      </c>
    </row>
    <row r="54" spans="1:71" ht="180" x14ac:dyDescent="0.45">
      <c r="A54" s="5">
        <v>53</v>
      </c>
      <c r="B54" s="8" t="s">
        <v>84</v>
      </c>
      <c r="C54" s="6" t="s">
        <v>6851</v>
      </c>
      <c r="D54" s="7" t="s">
        <v>9794</v>
      </c>
      <c r="E54" s="1" t="s">
        <v>84</v>
      </c>
      <c r="F54" s="1"/>
      <c r="G54" s="1"/>
      <c r="J54" s="1" t="s">
        <v>9795</v>
      </c>
      <c r="K54" s="2" t="s">
        <v>7196</v>
      </c>
      <c r="L54" s="4" t="s">
        <v>8005</v>
      </c>
      <c r="P54" s="7" t="s">
        <v>1241</v>
      </c>
      <c r="Q54" s="13" t="str">
        <f>INDEX($L:$L, MATCH("material", $B:$B, 0))</f>
        <v>&lt;span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v>
      </c>
      <c r="AU54" s="15"/>
      <c r="AV54" s="1" t="s">
        <v>1502</v>
      </c>
      <c r="BG54" s="7" t="s">
        <v>1503</v>
      </c>
      <c r="BH54" s="1" t="s">
        <v>2034</v>
      </c>
      <c r="BI54" s="2" t="s">
        <v>7197</v>
      </c>
      <c r="BJ54" s="1" t="s">
        <v>1504</v>
      </c>
      <c r="BK54" s="1" t="s">
        <v>2113</v>
      </c>
      <c r="BL54" s="1" t="s">
        <v>2114</v>
      </c>
      <c r="BM54" s="1" t="s">
        <v>2115</v>
      </c>
      <c r="BN54" s="1" t="s">
        <v>1875</v>
      </c>
      <c r="BO54" s="2" t="s">
        <v>7198</v>
      </c>
    </row>
    <row r="55" spans="1:71" ht="252" x14ac:dyDescent="0.45">
      <c r="A55" s="5">
        <v>54</v>
      </c>
      <c r="B55" s="8" t="s">
        <v>85</v>
      </c>
      <c r="C55" s="6" t="s">
        <v>6851</v>
      </c>
      <c r="D55" s="7" t="s">
        <v>9794</v>
      </c>
      <c r="E55" s="1" t="s">
        <v>85</v>
      </c>
      <c r="F55" s="1"/>
      <c r="G55" s="1"/>
      <c r="J55" s="1" t="s">
        <v>9795</v>
      </c>
      <c r="K55" s="2" t="s">
        <v>7199</v>
      </c>
      <c r="L55" s="4" t="s">
        <v>8006</v>
      </c>
      <c r="M55" s="1" t="s">
        <v>12187</v>
      </c>
      <c r="P55" s="7" t="s">
        <v>1241</v>
      </c>
      <c r="Q55" s="1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R55"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S55"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T55" s="1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U55" s="1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55" s="14"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55"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V55" s="1" t="s">
        <v>1502</v>
      </c>
      <c r="BG55" s="7" t="s">
        <v>1503</v>
      </c>
      <c r="BH55" s="1" t="s">
        <v>1976</v>
      </c>
      <c r="BI55" s="1" t="s">
        <v>2116</v>
      </c>
      <c r="BJ55" s="1" t="s">
        <v>2034</v>
      </c>
      <c r="BK55" s="2" t="s">
        <v>2117</v>
      </c>
      <c r="BL55" s="1" t="s">
        <v>1504</v>
      </c>
      <c r="BM55" s="2" t="s">
        <v>2118</v>
      </c>
      <c r="BN55" s="1" t="s">
        <v>2114</v>
      </c>
      <c r="BO55" s="1" t="s">
        <v>2119</v>
      </c>
      <c r="BP55" s="1" t="s">
        <v>1875</v>
      </c>
      <c r="BQ55" s="2" t="s">
        <v>2120</v>
      </c>
      <c r="BR55" s="1" t="s">
        <v>1883</v>
      </c>
      <c r="BS55" s="2" t="s">
        <v>2121</v>
      </c>
    </row>
    <row r="56" spans="1:71" ht="216" x14ac:dyDescent="0.45">
      <c r="A56" s="5">
        <v>55</v>
      </c>
      <c r="B56" s="8" t="s">
        <v>86</v>
      </c>
      <c r="C56" s="6" t="s">
        <v>6851</v>
      </c>
      <c r="D56" s="7" t="s">
        <v>9794</v>
      </c>
      <c r="E56" s="1" t="s">
        <v>86</v>
      </c>
      <c r="F56" s="1"/>
      <c r="G56" s="1"/>
      <c r="J56" s="1" t="s">
        <v>9795</v>
      </c>
      <c r="K56" s="2" t="s">
        <v>7200</v>
      </c>
      <c r="L56" s="4" t="s">
        <v>8007</v>
      </c>
      <c r="M56" s="1" t="s">
        <v>12188</v>
      </c>
      <c r="P56" s="7" t="s">
        <v>1241</v>
      </c>
      <c r="Q56" s="14"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R56" s="14"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S56" s="14"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T56" s="14"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56" s="13"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AV56" s="1" t="s">
        <v>1502</v>
      </c>
      <c r="BG56" s="7" t="s">
        <v>1503</v>
      </c>
      <c r="BH56" s="1" t="s">
        <v>2034</v>
      </c>
      <c r="BI56" s="1" t="s">
        <v>2122</v>
      </c>
      <c r="BJ56" s="1" t="s">
        <v>1504</v>
      </c>
      <c r="BK56" s="2" t="s">
        <v>2123</v>
      </c>
      <c r="BL56" s="1" t="s">
        <v>1875</v>
      </c>
      <c r="BM56" s="2" t="s">
        <v>2124</v>
      </c>
    </row>
    <row r="57" spans="1:71" ht="409.6" x14ac:dyDescent="0.45">
      <c r="A57" s="5">
        <v>56</v>
      </c>
      <c r="B57" s="8" t="s">
        <v>1267</v>
      </c>
      <c r="C57" s="6" t="s">
        <v>6851</v>
      </c>
      <c r="D57" s="7" t="s">
        <v>9794</v>
      </c>
      <c r="E57" s="1" t="s">
        <v>8901</v>
      </c>
      <c r="F57" s="1"/>
      <c r="G57" s="1"/>
      <c r="J57" s="1" t="s">
        <v>9795</v>
      </c>
      <c r="K57" s="2" t="s">
        <v>7201</v>
      </c>
      <c r="L57" s="4" t="s">
        <v>8008</v>
      </c>
      <c r="M57" s="1" t="s">
        <v>12189</v>
      </c>
      <c r="P57" s="7" t="s">
        <v>1241</v>
      </c>
      <c r="Q57" s="1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57" s="1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57" s="1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57" s="1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57" s="1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57"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W57" s="1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57" s="1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57" s="1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57"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A57" s="15"/>
      <c r="AB57" s="15"/>
      <c r="AC57" s="15"/>
      <c r="AD57" s="15"/>
      <c r="AE57" s="15"/>
      <c r="AF57" s="15"/>
      <c r="AG57" s="15"/>
      <c r="AU57" s="15"/>
      <c r="AV57" s="1" t="s">
        <v>1502</v>
      </c>
      <c r="BG57" s="7" t="s">
        <v>1503</v>
      </c>
      <c r="BH57" s="1" t="s">
        <v>2034</v>
      </c>
      <c r="BI57" s="2" t="s">
        <v>2125</v>
      </c>
      <c r="BJ57" s="1" t="s">
        <v>2036</v>
      </c>
      <c r="BK57" s="1" t="s">
        <v>2126</v>
      </c>
      <c r="BL57" s="1" t="s">
        <v>1875</v>
      </c>
      <c r="BM57" s="2" t="s">
        <v>2127</v>
      </c>
      <c r="BN57" s="1" t="s">
        <v>1883</v>
      </c>
      <c r="BO57" s="2" t="s">
        <v>2128</v>
      </c>
    </row>
    <row r="58" spans="1:71" ht="72" x14ac:dyDescent="0.45">
      <c r="A58" s="5">
        <v>57</v>
      </c>
      <c r="B58" s="8" t="s">
        <v>87</v>
      </c>
      <c r="C58" s="6" t="s">
        <v>6851</v>
      </c>
      <c r="D58" s="7" t="s">
        <v>9794</v>
      </c>
      <c r="E58" s="1" t="s">
        <v>87</v>
      </c>
      <c r="F58" s="1"/>
      <c r="G58" s="1"/>
      <c r="J58" s="1" t="s">
        <v>9795</v>
      </c>
      <c r="K58" s="2" t="s">
        <v>7202</v>
      </c>
      <c r="L58" s="9" t="s">
        <v>8009</v>
      </c>
      <c r="P58" s="7" t="s">
        <v>1241</v>
      </c>
      <c r="AU58" s="15"/>
      <c r="AV58" s="1" t="s">
        <v>1502</v>
      </c>
      <c r="BG58" s="7" t="s">
        <v>1503</v>
      </c>
      <c r="BH58" s="1" t="s">
        <v>2129</v>
      </c>
      <c r="BI58" s="2" t="s">
        <v>7203</v>
      </c>
    </row>
    <row r="59" spans="1:71" ht="144" x14ac:dyDescent="0.45">
      <c r="A59" s="5">
        <v>58</v>
      </c>
      <c r="B59" s="8" t="s">
        <v>1268</v>
      </c>
      <c r="C59" s="6" t="s">
        <v>6851</v>
      </c>
      <c r="D59" s="7" t="s">
        <v>9794</v>
      </c>
      <c r="E59" s="1" t="s">
        <v>4245</v>
      </c>
      <c r="F59" s="1" t="s">
        <v>4246</v>
      </c>
      <c r="G59" s="1"/>
      <c r="J59" s="1" t="s">
        <v>9795</v>
      </c>
      <c r="K59" s="2" t="s">
        <v>7204</v>
      </c>
      <c r="L59" s="4" t="s">
        <v>8010</v>
      </c>
      <c r="M59" s="1" t="s">
        <v>12190</v>
      </c>
      <c r="P59" s="7" t="s">
        <v>1241</v>
      </c>
      <c r="Q59" s="13"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R59"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S59"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T59"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U59" s="13"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V59"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59"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59"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59"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59"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59" s="1" t="s">
        <v>1502</v>
      </c>
      <c r="BG59" s="7" t="s">
        <v>1503</v>
      </c>
      <c r="BH59" s="1" t="s">
        <v>1976</v>
      </c>
      <c r="BI59" s="1" t="s">
        <v>2130</v>
      </c>
      <c r="BJ59" s="1" t="s">
        <v>2129</v>
      </c>
      <c r="BK59" s="1" t="s">
        <v>2131</v>
      </c>
      <c r="BL59" s="1" t="s">
        <v>1875</v>
      </c>
      <c r="BM59" s="2" t="s">
        <v>2132</v>
      </c>
    </row>
    <row r="60" spans="1:71" ht="108" x14ac:dyDescent="0.45">
      <c r="A60" s="5">
        <v>59</v>
      </c>
      <c r="B60" s="8" t="s">
        <v>1269</v>
      </c>
      <c r="C60" s="6" t="s">
        <v>6851</v>
      </c>
      <c r="D60" s="7" t="s">
        <v>9794</v>
      </c>
      <c r="E60" s="1" t="s">
        <v>7232</v>
      </c>
      <c r="F60" s="1" t="s">
        <v>1946</v>
      </c>
      <c r="G60" s="1"/>
      <c r="J60" s="1" t="s">
        <v>9795</v>
      </c>
      <c r="K60" s="2" t="s">
        <v>7205</v>
      </c>
      <c r="L60" s="9" t="s">
        <v>8011</v>
      </c>
      <c r="P60" s="7" t="s">
        <v>1241</v>
      </c>
      <c r="AU60" s="15"/>
      <c r="AV60" s="1" t="s">
        <v>1502</v>
      </c>
      <c r="BG60" s="7" t="s">
        <v>1503</v>
      </c>
      <c r="BH60" s="1" t="s">
        <v>2034</v>
      </c>
      <c r="BI60" s="2" t="s">
        <v>2133</v>
      </c>
      <c r="BJ60" s="1" t="s">
        <v>1504</v>
      </c>
      <c r="BK60" s="1" t="s">
        <v>2134</v>
      </c>
      <c r="BL60" s="1" t="s">
        <v>2114</v>
      </c>
      <c r="BM60" s="1" t="s">
        <v>2135</v>
      </c>
      <c r="BN60" s="1" t="s">
        <v>1875</v>
      </c>
      <c r="BO60" s="2" t="s">
        <v>2136</v>
      </c>
      <c r="BQ60" s="2"/>
    </row>
    <row r="61" spans="1:71" ht="144" x14ac:dyDescent="0.45">
      <c r="A61" s="5">
        <v>60</v>
      </c>
      <c r="B61" s="8" t="s">
        <v>88</v>
      </c>
      <c r="C61" s="6" t="s">
        <v>6851</v>
      </c>
      <c r="D61" s="7" t="s">
        <v>9794</v>
      </c>
      <c r="E61" s="1" t="s">
        <v>88</v>
      </c>
      <c r="F61" s="1"/>
      <c r="G61" s="1"/>
      <c r="J61" s="1" t="s">
        <v>9795</v>
      </c>
      <c r="K61" s="2" t="s">
        <v>7206</v>
      </c>
      <c r="L61" s="9" t="s">
        <v>10501</v>
      </c>
      <c r="P61" s="7" t="s">
        <v>1241</v>
      </c>
      <c r="AI61" s="15"/>
      <c r="AV61" s="1" t="s">
        <v>1502</v>
      </c>
      <c r="AW61" s="2" t="s">
        <v>8012</v>
      </c>
      <c r="BG61" s="7" t="s">
        <v>1503</v>
      </c>
      <c r="BH61" s="1" t="s">
        <v>1980</v>
      </c>
      <c r="BI61" s="1" t="s">
        <v>2137</v>
      </c>
      <c r="BJ61" s="1" t="s">
        <v>1504</v>
      </c>
      <c r="BK61" s="1" t="s">
        <v>2138</v>
      </c>
      <c r="BL61" s="1" t="s">
        <v>2044</v>
      </c>
      <c r="BM61" s="2" t="s">
        <v>2139</v>
      </c>
      <c r="BN61" s="1" t="s">
        <v>1883</v>
      </c>
      <c r="BO61" s="2" t="s">
        <v>2140</v>
      </c>
    </row>
    <row r="62" spans="1:71" ht="108" x14ac:dyDescent="0.45">
      <c r="A62" s="5">
        <v>61</v>
      </c>
      <c r="B62" s="8" t="s">
        <v>1270</v>
      </c>
      <c r="C62" s="6" t="s">
        <v>6851</v>
      </c>
      <c r="D62" s="7" t="s">
        <v>9794</v>
      </c>
      <c r="E62" s="1" t="s">
        <v>8902</v>
      </c>
      <c r="F62" s="1" t="s">
        <v>1476</v>
      </c>
      <c r="G62" s="1"/>
      <c r="J62" s="1" t="s">
        <v>9795</v>
      </c>
      <c r="K62" s="2" t="s">
        <v>7207</v>
      </c>
      <c r="L62" s="9" t="s">
        <v>8013</v>
      </c>
      <c r="P62" s="7" t="s">
        <v>1241</v>
      </c>
      <c r="Q62" s="1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62" s="13"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62" s="13"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U62" s="15"/>
      <c r="AV62" s="1" t="s">
        <v>1502</v>
      </c>
      <c r="BG62" s="7" t="s">
        <v>1503</v>
      </c>
      <c r="BH62" s="1" t="s">
        <v>2034</v>
      </c>
      <c r="BI62" s="2" t="s">
        <v>2141</v>
      </c>
      <c r="BJ62" s="1" t="s">
        <v>1504</v>
      </c>
      <c r="BK62" s="1" t="s">
        <v>2142</v>
      </c>
      <c r="BL62" s="1" t="s">
        <v>2114</v>
      </c>
      <c r="BM62" s="1" t="s">
        <v>2143</v>
      </c>
      <c r="BN62" s="1" t="s">
        <v>2044</v>
      </c>
      <c r="BO62" s="2" t="s">
        <v>2144</v>
      </c>
    </row>
    <row r="63" spans="1:71" ht="198" x14ac:dyDescent="0.45">
      <c r="A63" s="5">
        <v>62</v>
      </c>
      <c r="B63" s="8" t="s">
        <v>1893</v>
      </c>
      <c r="C63" s="6" t="s">
        <v>6851</v>
      </c>
      <c r="D63" s="7" t="s">
        <v>9794</v>
      </c>
      <c r="E63" s="1" t="s">
        <v>1555</v>
      </c>
      <c r="F63" s="1" t="s">
        <v>3331</v>
      </c>
      <c r="G63" s="1"/>
      <c r="J63" s="1" t="s">
        <v>9795</v>
      </c>
      <c r="K63" s="2" t="s">
        <v>7208</v>
      </c>
      <c r="L63" s="9" t="s">
        <v>8014</v>
      </c>
      <c r="P63" s="7" t="s">
        <v>1241</v>
      </c>
      <c r="AI63" s="15"/>
      <c r="AU63" s="15"/>
      <c r="AV63" s="1" t="s">
        <v>1502</v>
      </c>
      <c r="AW63" s="2" t="s">
        <v>8015</v>
      </c>
      <c r="BG63" s="7" t="s">
        <v>1503</v>
      </c>
      <c r="BH63" s="1" t="s">
        <v>2145</v>
      </c>
      <c r="BI63" s="2" t="s">
        <v>2146</v>
      </c>
      <c r="BJ63" s="1" t="s">
        <v>2147</v>
      </c>
      <c r="BK63" s="1" t="s">
        <v>2148</v>
      </c>
      <c r="BL63" s="1" t="s">
        <v>1883</v>
      </c>
      <c r="BM63" s="2" t="s">
        <v>2149</v>
      </c>
    </row>
    <row r="64" spans="1:71" ht="270" x14ac:dyDescent="0.45">
      <c r="A64" s="5">
        <v>63</v>
      </c>
      <c r="B64" s="8" t="s">
        <v>89</v>
      </c>
      <c r="C64" s="6" t="s">
        <v>6851</v>
      </c>
      <c r="D64" s="7" t="s">
        <v>9794</v>
      </c>
      <c r="E64" s="1" t="s">
        <v>8903</v>
      </c>
      <c r="F64" s="1" t="s">
        <v>1929</v>
      </c>
      <c r="G64" s="1"/>
      <c r="J64" s="1" t="s">
        <v>9795</v>
      </c>
      <c r="K64" s="2" t="s">
        <v>7209</v>
      </c>
      <c r="L64" s="4" t="s">
        <v>8016</v>
      </c>
      <c r="M64" s="1" t="s">
        <v>12191</v>
      </c>
      <c r="P64" s="7" t="s">
        <v>1241</v>
      </c>
      <c r="Q64" s="14"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R64" s="14"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S64" s="13"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AU64" s="15"/>
      <c r="AV64" s="1" t="s">
        <v>1502</v>
      </c>
      <c r="BG64" s="7" t="s">
        <v>1503</v>
      </c>
      <c r="BH64" s="1" t="s">
        <v>2034</v>
      </c>
      <c r="BI64" s="2" t="s">
        <v>2150</v>
      </c>
      <c r="BJ64" s="1" t="s">
        <v>1504</v>
      </c>
      <c r="BK64" s="2" t="s">
        <v>2151</v>
      </c>
      <c r="BL64" s="1" t="s">
        <v>2044</v>
      </c>
      <c r="BM64" s="2" t="s">
        <v>2152</v>
      </c>
      <c r="BN64" s="1" t="s">
        <v>1877</v>
      </c>
      <c r="BO64" s="2" t="s">
        <v>2153</v>
      </c>
    </row>
    <row r="65" spans="1:69" ht="126" x14ac:dyDescent="0.45">
      <c r="A65" s="5">
        <v>64</v>
      </c>
      <c r="B65" s="8" t="s">
        <v>1271</v>
      </c>
      <c r="C65" s="6" t="s">
        <v>6851</v>
      </c>
      <c r="D65" s="7" t="s">
        <v>9794</v>
      </c>
      <c r="E65" s="1" t="s">
        <v>1413</v>
      </c>
      <c r="F65" s="1" t="s">
        <v>8904</v>
      </c>
      <c r="G65" s="1" t="s">
        <v>1517</v>
      </c>
      <c r="J65" s="1" t="s">
        <v>9795</v>
      </c>
      <c r="K65" s="2" t="s">
        <v>7210</v>
      </c>
      <c r="L65" s="9" t="s">
        <v>8017</v>
      </c>
      <c r="P65" s="7" t="s">
        <v>1241</v>
      </c>
      <c r="AU65" s="15"/>
      <c r="AV65" s="1" t="s">
        <v>1502</v>
      </c>
      <c r="BG65" s="7" t="s">
        <v>1503</v>
      </c>
      <c r="BH65" s="1" t="s">
        <v>2034</v>
      </c>
      <c r="BI65" s="2" t="s">
        <v>2154</v>
      </c>
      <c r="BJ65" s="1" t="s">
        <v>1504</v>
      </c>
      <c r="BK65" s="1" t="s">
        <v>2155</v>
      </c>
      <c r="BL65" s="1" t="s">
        <v>2044</v>
      </c>
      <c r="BM65" s="2" t="s">
        <v>2156</v>
      </c>
    </row>
    <row r="66" spans="1:69" ht="216" x14ac:dyDescent="0.45">
      <c r="A66" s="5">
        <v>65</v>
      </c>
      <c r="B66" s="8" t="s">
        <v>1272</v>
      </c>
      <c r="C66" s="6" t="s">
        <v>6851</v>
      </c>
      <c r="D66" s="7" t="s">
        <v>9794</v>
      </c>
      <c r="E66" s="1" t="s">
        <v>1514</v>
      </c>
      <c r="F66" s="1" t="s">
        <v>3162</v>
      </c>
      <c r="G66" s="1"/>
      <c r="J66" s="1" t="s">
        <v>9795</v>
      </c>
      <c r="K66" s="2" t="s">
        <v>7211</v>
      </c>
      <c r="L66" s="9" t="s">
        <v>8018</v>
      </c>
      <c r="M66" s="1" t="s">
        <v>12192</v>
      </c>
      <c r="P66" s="7" t="s">
        <v>1241</v>
      </c>
      <c r="Q66"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R66"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S66" s="13" t="str">
        <f>INDEX($L:$L, MATCH("molecule", $B:$B, 0))</f>
        <v>&lt;span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v>
      </c>
      <c r="T66" s="13" t="str">
        <f>INDEX($L:$L, MATCH("nuclear", $B:$B, 0))</f>
        <v>&lt;span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v>
      </c>
      <c r="AU66" s="15"/>
      <c r="AV66" s="1" t="s">
        <v>1502</v>
      </c>
      <c r="BG66" s="7" t="s">
        <v>1503</v>
      </c>
      <c r="BH66" s="1" t="s">
        <v>2034</v>
      </c>
      <c r="BI66" s="2" t="s">
        <v>7212</v>
      </c>
      <c r="BJ66" s="1" t="s">
        <v>1504</v>
      </c>
      <c r="BK66" s="1" t="s">
        <v>2157</v>
      </c>
      <c r="BL66" s="1" t="s">
        <v>2044</v>
      </c>
      <c r="BM66" s="2" t="s">
        <v>2158</v>
      </c>
      <c r="BN66" s="1" t="s">
        <v>1877</v>
      </c>
      <c r="BO66" s="2" t="s">
        <v>2159</v>
      </c>
    </row>
    <row r="67" spans="1:69" ht="72" x14ac:dyDescent="0.45">
      <c r="A67" s="5">
        <v>66</v>
      </c>
      <c r="B67" s="8" t="s">
        <v>1273</v>
      </c>
      <c r="C67" s="6" t="s">
        <v>6851</v>
      </c>
      <c r="D67" s="7" t="s">
        <v>9794</v>
      </c>
      <c r="E67" s="1" t="s">
        <v>90</v>
      </c>
      <c r="F67" s="1"/>
      <c r="G67" s="1"/>
      <c r="J67" s="1" t="s">
        <v>9795</v>
      </c>
      <c r="K67" s="2" t="s">
        <v>7213</v>
      </c>
      <c r="L67" s="4" t="s">
        <v>8019</v>
      </c>
      <c r="P67" s="7" t="s">
        <v>1241</v>
      </c>
      <c r="Q67" s="18" t="str">
        <f>INDEX($L:$L, MATCH("fuel", $B:$B, 0))</f>
        <v>&lt;span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v>
      </c>
      <c r="AU67" s="15"/>
      <c r="AV67" s="1" t="s">
        <v>1502</v>
      </c>
      <c r="BG67" s="7" t="s">
        <v>1503</v>
      </c>
      <c r="BH67" s="1" t="s">
        <v>2034</v>
      </c>
      <c r="BI67" s="2" t="s">
        <v>2160</v>
      </c>
      <c r="BJ67" s="1" t="s">
        <v>2147</v>
      </c>
      <c r="BK67" s="1" t="s">
        <v>2161</v>
      </c>
      <c r="BL67" s="1" t="s">
        <v>2162</v>
      </c>
      <c r="BM67" s="2" t="s">
        <v>2163</v>
      </c>
      <c r="BN67" s="1" t="s">
        <v>1877</v>
      </c>
      <c r="BO67" s="2" t="s">
        <v>2164</v>
      </c>
    </row>
    <row r="68" spans="1:69" ht="234" x14ac:dyDescent="0.45">
      <c r="A68" s="5">
        <v>67</v>
      </c>
      <c r="B68" s="8" t="s">
        <v>91</v>
      </c>
      <c r="C68" s="6" t="s">
        <v>6851</v>
      </c>
      <c r="D68" s="7" t="s">
        <v>9794</v>
      </c>
      <c r="E68" s="1" t="s">
        <v>4501</v>
      </c>
      <c r="F68" s="1" t="s">
        <v>8895</v>
      </c>
      <c r="G68" s="1"/>
      <c r="J68" s="1" t="s">
        <v>9795</v>
      </c>
      <c r="K68" s="2" t="s">
        <v>7214</v>
      </c>
      <c r="L68" s="4" t="s">
        <v>8020</v>
      </c>
      <c r="M68" s="1" t="s">
        <v>12182</v>
      </c>
      <c r="P68" s="7" t="s">
        <v>1241</v>
      </c>
      <c r="Q68" s="14"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68" s="14"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S68" s="14"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AI68" s="15"/>
      <c r="AU68" s="15"/>
      <c r="AV68" s="1" t="s">
        <v>1502</v>
      </c>
      <c r="AW68" s="2" t="s">
        <v>8021</v>
      </c>
      <c r="BG68" s="7" t="s">
        <v>1503</v>
      </c>
      <c r="BH68" s="1" t="s">
        <v>2034</v>
      </c>
      <c r="BI68" s="2" t="s">
        <v>2165</v>
      </c>
      <c r="BJ68" s="1" t="s">
        <v>1504</v>
      </c>
      <c r="BK68" s="2" t="s">
        <v>7215</v>
      </c>
      <c r="BL68" s="1" t="s">
        <v>2044</v>
      </c>
      <c r="BM68" s="2" t="s">
        <v>7216</v>
      </c>
      <c r="BN68" s="1" t="s">
        <v>1877</v>
      </c>
      <c r="BO68" s="2" t="s">
        <v>2166</v>
      </c>
    </row>
    <row r="69" spans="1:69" ht="234" x14ac:dyDescent="0.45">
      <c r="A69" s="5">
        <v>68</v>
      </c>
      <c r="B69" s="8" t="s">
        <v>92</v>
      </c>
      <c r="C69" s="6" t="s">
        <v>6851</v>
      </c>
      <c r="D69" s="7" t="s">
        <v>9794</v>
      </c>
      <c r="E69" s="1" t="s">
        <v>31</v>
      </c>
      <c r="F69" s="1" t="s">
        <v>8895</v>
      </c>
      <c r="G69" s="1"/>
      <c r="J69" s="1" t="s">
        <v>9795</v>
      </c>
      <c r="K69" s="2" t="s">
        <v>7217</v>
      </c>
      <c r="L69" s="4" t="s">
        <v>8022</v>
      </c>
      <c r="M69" s="1" t="s">
        <v>12182</v>
      </c>
      <c r="P69" s="7" t="s">
        <v>1241</v>
      </c>
      <c r="Q69" s="14"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69" s="14"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S69" s="14"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AU69" s="15"/>
      <c r="AV69" s="1" t="s">
        <v>1502</v>
      </c>
      <c r="BG69" s="7" t="s">
        <v>1503</v>
      </c>
      <c r="BH69" s="1" t="s">
        <v>2034</v>
      </c>
      <c r="BI69" s="2" t="s">
        <v>2167</v>
      </c>
      <c r="BJ69" s="1" t="s">
        <v>2044</v>
      </c>
      <c r="BK69" s="2" t="s">
        <v>2168</v>
      </c>
      <c r="BL69" s="1" t="s">
        <v>1877</v>
      </c>
      <c r="BM69" s="2" t="s">
        <v>2169</v>
      </c>
    </row>
    <row r="70" spans="1:69" ht="144" x14ac:dyDescent="0.45">
      <c r="A70" s="5">
        <v>69</v>
      </c>
      <c r="B70" s="8" t="s">
        <v>1274</v>
      </c>
      <c r="C70" s="6" t="s">
        <v>6851</v>
      </c>
      <c r="D70" s="7" t="s">
        <v>9794</v>
      </c>
      <c r="E70" s="1" t="s">
        <v>8905</v>
      </c>
      <c r="F70" s="1"/>
      <c r="G70" s="1"/>
      <c r="J70" s="1" t="s">
        <v>9795</v>
      </c>
      <c r="K70" s="2" t="s">
        <v>7218</v>
      </c>
      <c r="L70" s="4" t="s">
        <v>8023</v>
      </c>
      <c r="P70" s="7" t="s">
        <v>1241</v>
      </c>
      <c r="Q70" s="14"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AU70" s="15"/>
      <c r="AV70" s="1" t="s">
        <v>1502</v>
      </c>
      <c r="BG70" s="7" t="s">
        <v>1503</v>
      </c>
      <c r="BH70" s="1" t="s">
        <v>2034</v>
      </c>
      <c r="BI70" s="2" t="s">
        <v>2170</v>
      </c>
      <c r="BJ70" s="1" t="s">
        <v>1504</v>
      </c>
      <c r="BK70" s="1" t="s">
        <v>2171</v>
      </c>
      <c r="BL70" s="1" t="s">
        <v>2044</v>
      </c>
      <c r="BM70" s="2" t="s">
        <v>2172</v>
      </c>
      <c r="BN70" s="1" t="s">
        <v>1877</v>
      </c>
      <c r="BO70" s="2" t="s">
        <v>2173</v>
      </c>
    </row>
    <row r="71" spans="1:69" ht="162" x14ac:dyDescent="0.45">
      <c r="A71" s="5">
        <v>70</v>
      </c>
      <c r="B71" s="8" t="s">
        <v>93</v>
      </c>
      <c r="C71" s="6" t="s">
        <v>6851</v>
      </c>
      <c r="D71" s="7" t="s">
        <v>9794</v>
      </c>
      <c r="E71" s="1" t="s">
        <v>93</v>
      </c>
      <c r="F71" s="1"/>
      <c r="G71" s="1"/>
      <c r="J71" s="1" t="s">
        <v>9795</v>
      </c>
      <c r="K71" s="2" t="s">
        <v>7233</v>
      </c>
      <c r="L71" s="9" t="s">
        <v>8024</v>
      </c>
      <c r="P71" s="7" t="s">
        <v>1241</v>
      </c>
      <c r="AI71" s="15"/>
      <c r="AU71" s="15"/>
      <c r="AV71" s="1" t="s">
        <v>1502</v>
      </c>
      <c r="AW71" s="2" t="s">
        <v>8025</v>
      </c>
      <c r="BG71" s="7" t="s">
        <v>1503</v>
      </c>
      <c r="BH71" s="1" t="s">
        <v>2034</v>
      </c>
      <c r="BI71" s="2" t="s">
        <v>7219</v>
      </c>
      <c r="BJ71" s="1" t="s">
        <v>1980</v>
      </c>
      <c r="BK71" s="1" t="s">
        <v>2174</v>
      </c>
      <c r="BL71" s="1" t="s">
        <v>1504</v>
      </c>
      <c r="BM71" s="1" t="s">
        <v>2175</v>
      </c>
      <c r="BN71" s="1" t="s">
        <v>2017</v>
      </c>
      <c r="BO71" s="1" t="s">
        <v>2176</v>
      </c>
      <c r="BP71" s="1" t="s">
        <v>1877</v>
      </c>
      <c r="BQ71" s="2" t="s">
        <v>2177</v>
      </c>
    </row>
    <row r="72" spans="1:69" ht="342" x14ac:dyDescent="0.45">
      <c r="A72" s="5">
        <v>71</v>
      </c>
      <c r="B72" s="8" t="s">
        <v>1275</v>
      </c>
      <c r="C72" s="6" t="s">
        <v>6851</v>
      </c>
      <c r="D72" s="7" t="s">
        <v>9794</v>
      </c>
      <c r="E72" s="1" t="s">
        <v>94</v>
      </c>
      <c r="F72" s="1"/>
      <c r="G72" s="1"/>
      <c r="J72" s="1" t="s">
        <v>9795</v>
      </c>
      <c r="K72" s="2" t="s">
        <v>7220</v>
      </c>
      <c r="L72" s="4" t="s">
        <v>8026</v>
      </c>
      <c r="M72" s="1" t="s">
        <v>12193</v>
      </c>
      <c r="P72" s="7" t="s">
        <v>1241</v>
      </c>
      <c r="Q72" s="13" t="str">
        <f>INDEX($L:$L, MATCH("determine", $B:$B, 0))</f>
        <v>&lt;span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v>
      </c>
      <c r="AI72" s="15"/>
      <c r="AJ72" s="15"/>
      <c r="AV72" s="1" t="s">
        <v>1502</v>
      </c>
      <c r="AW72" s="2" t="s">
        <v>8027</v>
      </c>
      <c r="AX72" s="2" t="s">
        <v>8028</v>
      </c>
      <c r="BG72" s="7" t="s">
        <v>1503</v>
      </c>
      <c r="BH72" s="1" t="s">
        <v>2034</v>
      </c>
      <c r="BI72" s="1" t="s">
        <v>2178</v>
      </c>
      <c r="BJ72" s="1" t="s">
        <v>1980</v>
      </c>
      <c r="BK72" s="1" t="s">
        <v>2179</v>
      </c>
      <c r="BL72" s="1" t="s">
        <v>1504</v>
      </c>
      <c r="BM72" s="1" t="s">
        <v>2180</v>
      </c>
      <c r="BN72" s="1" t="s">
        <v>2044</v>
      </c>
      <c r="BO72" s="2" t="s">
        <v>2181</v>
      </c>
      <c r="BP72" s="1" t="s">
        <v>1877</v>
      </c>
      <c r="BQ72" s="2" t="s">
        <v>2182</v>
      </c>
    </row>
    <row r="73" spans="1:69" ht="234" x14ac:dyDescent="0.45">
      <c r="A73" s="5">
        <v>72</v>
      </c>
      <c r="B73" s="8" t="s">
        <v>1276</v>
      </c>
      <c r="C73" s="6" t="s">
        <v>6851</v>
      </c>
      <c r="D73" s="7" t="s">
        <v>9794</v>
      </c>
      <c r="E73" s="1" t="s">
        <v>8906</v>
      </c>
      <c r="F73" s="1" t="s">
        <v>1517</v>
      </c>
      <c r="G73" s="1"/>
      <c r="J73" s="1" t="s">
        <v>9795</v>
      </c>
      <c r="K73" s="2" t="s">
        <v>7221</v>
      </c>
      <c r="L73" s="2" t="s">
        <v>8029</v>
      </c>
      <c r="P73" s="7" t="s">
        <v>1241</v>
      </c>
      <c r="Q73" s="1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73" s="1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S73" s="14"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73" s="14"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U73" s="1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73" s="1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73" s="1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73"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73"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73"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73"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73"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73"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73"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73"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73" s="1" t="s">
        <v>1502</v>
      </c>
      <c r="BG73" s="7" t="s">
        <v>1503</v>
      </c>
      <c r="BH73" s="1" t="s">
        <v>1976</v>
      </c>
      <c r="BI73" s="1" t="s">
        <v>2263</v>
      </c>
      <c r="BJ73" s="1" t="s">
        <v>2034</v>
      </c>
      <c r="BK73" s="2" t="s">
        <v>2183</v>
      </c>
      <c r="BL73" s="1" t="s">
        <v>1504</v>
      </c>
      <c r="BM73" s="1" t="s">
        <v>2184</v>
      </c>
      <c r="BN73" s="1" t="s">
        <v>2044</v>
      </c>
      <c r="BO73" s="2" t="s">
        <v>2185</v>
      </c>
      <c r="BP73" s="1" t="s">
        <v>1877</v>
      </c>
      <c r="BQ73" s="2" t="s">
        <v>2186</v>
      </c>
    </row>
    <row r="74" spans="1:69" ht="126" x14ac:dyDescent="0.45">
      <c r="A74" s="5">
        <v>73</v>
      </c>
      <c r="B74" s="8" t="s">
        <v>1277</v>
      </c>
      <c r="C74" s="6" t="s">
        <v>6851</v>
      </c>
      <c r="D74" s="7" t="s">
        <v>9794</v>
      </c>
      <c r="E74" s="1" t="s">
        <v>8907</v>
      </c>
      <c r="F74" s="1" t="s">
        <v>49</v>
      </c>
      <c r="G74" s="1"/>
      <c r="J74" s="1" t="s">
        <v>9795</v>
      </c>
      <c r="K74" s="2" t="s">
        <v>7222</v>
      </c>
      <c r="L74" s="4" t="s">
        <v>8030</v>
      </c>
      <c r="P74" s="7" t="s">
        <v>1241</v>
      </c>
      <c r="Q74" s="13" t="str">
        <f>INDEX($L:$L, MATCH("matter", $B:$B, 0))</f>
        <v>&lt;span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v>
      </c>
      <c r="AU74" s="15"/>
      <c r="AV74" s="1" t="s">
        <v>1502</v>
      </c>
      <c r="BG74" s="7" t="s">
        <v>1503</v>
      </c>
      <c r="BH74" s="1" t="s">
        <v>2034</v>
      </c>
      <c r="BI74" s="2" t="s">
        <v>2112</v>
      </c>
      <c r="BJ74" s="1" t="s">
        <v>2147</v>
      </c>
      <c r="BK74" s="2" t="s">
        <v>2187</v>
      </c>
      <c r="BL74" s="1" t="s">
        <v>1504</v>
      </c>
      <c r="BM74" s="1" t="s">
        <v>2188</v>
      </c>
      <c r="BN74" s="1" t="s">
        <v>2044</v>
      </c>
      <c r="BO74" s="2" t="s">
        <v>2189</v>
      </c>
    </row>
    <row r="75" spans="1:69" ht="270" x14ac:dyDescent="0.45">
      <c r="A75" s="5">
        <v>74</v>
      </c>
      <c r="B75" s="8" t="s">
        <v>1405</v>
      </c>
      <c r="C75" s="6" t="s">
        <v>6851</v>
      </c>
      <c r="D75" s="7" t="s">
        <v>9794</v>
      </c>
      <c r="E75" s="1" t="s">
        <v>1454</v>
      </c>
      <c r="F75" s="1" t="s">
        <v>1894</v>
      </c>
      <c r="G75" s="1" t="s">
        <v>1895</v>
      </c>
      <c r="J75" s="1" t="s">
        <v>9795</v>
      </c>
      <c r="K75" s="2" t="s">
        <v>7223</v>
      </c>
      <c r="L75" s="4" t="s">
        <v>8031</v>
      </c>
      <c r="M75" s="1" t="s">
        <v>12187</v>
      </c>
      <c r="P75" s="7" t="s">
        <v>1241</v>
      </c>
      <c r="Q75" s="1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75" s="1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75"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T75"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U75" s="1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75" s="1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W75"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75" s="15"/>
      <c r="AV75" s="1" t="s">
        <v>1502</v>
      </c>
      <c r="BG75" s="7" t="s">
        <v>1503</v>
      </c>
      <c r="BH75" s="1" t="s">
        <v>2034</v>
      </c>
      <c r="BI75" s="2" t="s">
        <v>2190</v>
      </c>
      <c r="BJ75" s="1" t="s">
        <v>2147</v>
      </c>
      <c r="BK75" s="2" t="s">
        <v>2191</v>
      </c>
      <c r="BL75" s="1" t="s">
        <v>2044</v>
      </c>
      <c r="BM75" s="2" t="s">
        <v>2192</v>
      </c>
    </row>
    <row r="76" spans="1:69" ht="270" x14ac:dyDescent="0.45">
      <c r="A76" s="5">
        <v>75</v>
      </c>
      <c r="B76" s="8" t="s">
        <v>7224</v>
      </c>
      <c r="C76" s="6" t="s">
        <v>6851</v>
      </c>
      <c r="D76" s="7" t="s">
        <v>9794</v>
      </c>
      <c r="E76" s="1" t="s">
        <v>7224</v>
      </c>
      <c r="F76" s="1"/>
      <c r="G76" s="1"/>
      <c r="J76" s="1" t="s">
        <v>9795</v>
      </c>
      <c r="K76" s="2" t="s">
        <v>7225</v>
      </c>
      <c r="L76" s="4" t="s">
        <v>8032</v>
      </c>
      <c r="M76" s="1" t="s">
        <v>12194</v>
      </c>
      <c r="P76" s="7" t="s">
        <v>1241</v>
      </c>
      <c r="Q76" s="14"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R76" s="14"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S76" s="14"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T76" s="14"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76" s="13"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AU76" s="15"/>
      <c r="AV76" s="1" t="s">
        <v>1502</v>
      </c>
      <c r="BG76" s="7" t="s">
        <v>1503</v>
      </c>
      <c r="BH76" s="1" t="s">
        <v>2034</v>
      </c>
      <c r="BI76" s="2" t="s">
        <v>2193</v>
      </c>
      <c r="BJ76" s="1" t="s">
        <v>1504</v>
      </c>
      <c r="BK76" s="2" t="s">
        <v>2194</v>
      </c>
      <c r="BL76" s="1" t="s">
        <v>2044</v>
      </c>
      <c r="BM76" s="2" t="s">
        <v>2195</v>
      </c>
    </row>
    <row r="77" spans="1:69" ht="162" x14ac:dyDescent="0.45">
      <c r="A77" s="5">
        <v>76</v>
      </c>
      <c r="B77" s="8" t="s">
        <v>1278</v>
      </c>
      <c r="C77" s="6" t="s">
        <v>6851</v>
      </c>
      <c r="D77" s="7" t="s">
        <v>9794</v>
      </c>
      <c r="E77" s="1" t="s">
        <v>1467</v>
      </c>
      <c r="F77" s="1" t="s">
        <v>8908</v>
      </c>
      <c r="G77" s="1" t="s">
        <v>1522</v>
      </c>
      <c r="J77" s="1" t="s">
        <v>9795</v>
      </c>
      <c r="K77" s="2" t="s">
        <v>7226</v>
      </c>
      <c r="L77" s="4" t="s">
        <v>8033</v>
      </c>
      <c r="M77" s="1" t="s">
        <v>12195</v>
      </c>
      <c r="P77" s="7" t="s">
        <v>1241</v>
      </c>
      <c r="Q77" s="14"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R77" s="13"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S77" s="13" t="str">
        <f>INDEX($L:$L, MATCH("immune", $B:$B, 0))</f>
        <v>&lt;span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v>
      </c>
      <c r="AU77" s="15"/>
      <c r="AV77" s="1" t="s">
        <v>1502</v>
      </c>
      <c r="BG77" s="7" t="s">
        <v>1503</v>
      </c>
      <c r="BH77" s="1" t="s">
        <v>2034</v>
      </c>
      <c r="BI77" s="2" t="s">
        <v>7227</v>
      </c>
      <c r="BJ77" s="1" t="s">
        <v>1980</v>
      </c>
      <c r="BK77" s="1" t="s">
        <v>2196</v>
      </c>
      <c r="BL77" s="1" t="s">
        <v>1504</v>
      </c>
      <c r="BM77" s="2" t="s">
        <v>2197</v>
      </c>
      <c r="BN77" s="1" t="s">
        <v>2044</v>
      </c>
      <c r="BO77" s="2" t="s">
        <v>2198</v>
      </c>
    </row>
    <row r="78" spans="1:69" ht="144" x14ac:dyDescent="0.45">
      <c r="A78" s="5">
        <v>77</v>
      </c>
      <c r="B78" s="8" t="s">
        <v>1279</v>
      </c>
      <c r="C78" s="6" t="s">
        <v>6851</v>
      </c>
      <c r="D78" s="7" t="s">
        <v>9794</v>
      </c>
      <c r="E78" s="1" t="s">
        <v>8909</v>
      </c>
      <c r="F78" s="1" t="s">
        <v>1508</v>
      </c>
      <c r="G78" s="1"/>
      <c r="J78" s="1" t="s">
        <v>9795</v>
      </c>
      <c r="K78" s="2" t="s">
        <v>7228</v>
      </c>
      <c r="L78" s="9" t="s">
        <v>8034</v>
      </c>
      <c r="P78" s="7" t="s">
        <v>1241</v>
      </c>
      <c r="Q78" s="16" t="str">
        <f>INDEX($L:$L, MATCH("technique", $B:$B, 0))</f>
        <v>&lt;span class="w"&gt;&lt;b&gt;【255.technique：技術, 技巧, 手法】&lt;/b&gt;&lt;/span&gt;
&lt;span class="ml"&gt;ギリシャ語tekhnē（技術）に由来する。これはそのまま「技術, 技巧, 手法」となった。&lt;/span&gt;</v>
      </c>
      <c r="AU78" s="15"/>
      <c r="AV78" s="1" t="s">
        <v>1502</v>
      </c>
      <c r="BG78" s="7" t="s">
        <v>1503</v>
      </c>
      <c r="BH78" s="1" t="s">
        <v>2199</v>
      </c>
      <c r="BI78" s="2" t="s">
        <v>2200</v>
      </c>
      <c r="BJ78" s="1" t="s">
        <v>1877</v>
      </c>
      <c r="BK78" s="2" t="s">
        <v>2201</v>
      </c>
    </row>
    <row r="79" spans="1:69" ht="198" x14ac:dyDescent="0.45">
      <c r="A79" s="5">
        <v>78</v>
      </c>
      <c r="B79" s="8" t="s">
        <v>1280</v>
      </c>
      <c r="C79" s="6" t="s">
        <v>6851</v>
      </c>
      <c r="D79" s="7" t="s">
        <v>9794</v>
      </c>
      <c r="E79" s="1" t="s">
        <v>8910</v>
      </c>
      <c r="F79" s="1" t="s">
        <v>1525</v>
      </c>
      <c r="G79" s="1"/>
      <c r="J79" s="1" t="s">
        <v>9795</v>
      </c>
      <c r="K79" s="2" t="s">
        <v>7229</v>
      </c>
      <c r="L79" s="4" t="s">
        <v>8035</v>
      </c>
      <c r="M79" s="1" t="s">
        <v>12196</v>
      </c>
      <c r="P79" s="7" t="s">
        <v>1241</v>
      </c>
      <c r="Q79" s="14" t="str">
        <f>INDEX($L:$L, MATCH("agriculture", $B:$B, 0))</f>
        <v>&lt;span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v>
      </c>
      <c r="R79" s="14" t="str">
        <f>INDEX($L:$L, MATCH("colony", $B:$B, 0))</f>
        <v>&lt;span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v>
      </c>
      <c r="S79" s="13" t="str">
        <f>INDEX($L:$L, MATCH("cultivate", $B:$B, 0))</f>
        <v>&lt;span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v>
      </c>
      <c r="AU79" s="15"/>
      <c r="AV79" s="1" t="s">
        <v>1502</v>
      </c>
      <c r="BG79" s="7" t="s">
        <v>1503</v>
      </c>
      <c r="BH79" s="1" t="s">
        <v>2034</v>
      </c>
      <c r="BI79" s="2" t="s">
        <v>2202</v>
      </c>
      <c r="BJ79" s="1" t="s">
        <v>2044</v>
      </c>
      <c r="BK79" s="2" t="s">
        <v>2203</v>
      </c>
      <c r="BL79" s="1" t="s">
        <v>1877</v>
      </c>
      <c r="BM79" s="2" t="s">
        <v>2204</v>
      </c>
    </row>
    <row r="80" spans="1:69" ht="180" x14ac:dyDescent="0.45">
      <c r="A80" s="5">
        <v>79</v>
      </c>
      <c r="B80" s="8" t="s">
        <v>1281</v>
      </c>
      <c r="C80" s="6" t="s">
        <v>6852</v>
      </c>
      <c r="D80" s="7" t="s">
        <v>9794</v>
      </c>
      <c r="E80" s="1" t="s">
        <v>1329</v>
      </c>
      <c r="F80" s="1" t="s">
        <v>31</v>
      </c>
      <c r="G80" s="1" t="s">
        <v>1282</v>
      </c>
      <c r="J80" s="1" t="s">
        <v>9795</v>
      </c>
      <c r="K80" s="2" t="s">
        <v>7234</v>
      </c>
      <c r="L80" s="3" t="s">
        <v>8036</v>
      </c>
      <c r="P80" s="7" t="s">
        <v>1241</v>
      </c>
      <c r="Q80" s="13" t="str">
        <f>INDEX($L:$L, MATCH("proper", $B:$B, 0))</f>
        <v>&lt;span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v>
      </c>
      <c r="AU80" s="15"/>
      <c r="AV80" s="1" t="s">
        <v>1502</v>
      </c>
      <c r="BG80" s="7" t="s">
        <v>1503</v>
      </c>
      <c r="BH80" s="1" t="s">
        <v>2034</v>
      </c>
      <c r="BI80" s="2" t="s">
        <v>2205</v>
      </c>
      <c r="BJ80" s="1" t="s">
        <v>2147</v>
      </c>
      <c r="BK80" s="2" t="s">
        <v>2206</v>
      </c>
      <c r="BL80" s="1" t="s">
        <v>2044</v>
      </c>
      <c r="BM80" s="2" t="s">
        <v>2207</v>
      </c>
    </row>
    <row r="81" spans="1:69" ht="252" x14ac:dyDescent="0.45">
      <c r="A81" s="5">
        <v>80</v>
      </c>
      <c r="B81" s="8" t="s">
        <v>1283</v>
      </c>
      <c r="C81" s="6" t="s">
        <v>6852</v>
      </c>
      <c r="D81" s="7" t="s">
        <v>9794</v>
      </c>
      <c r="E81" s="1" t="s">
        <v>4921</v>
      </c>
      <c r="F81" s="1" t="s">
        <v>1457</v>
      </c>
      <c r="G81" s="1"/>
      <c r="J81" s="1" t="s">
        <v>9795</v>
      </c>
      <c r="K81" s="2" t="s">
        <v>7235</v>
      </c>
      <c r="L81" s="9" t="s">
        <v>8037</v>
      </c>
      <c r="P81" s="7" t="s">
        <v>1241</v>
      </c>
      <c r="Q81" s="13" t="str">
        <f>INDEX($L:$L, MATCH("likewise", $B:$B, 0))</f>
        <v>&lt;span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v>
      </c>
      <c r="AI81" s="15"/>
      <c r="AU81" s="15"/>
      <c r="AV81" s="1" t="s">
        <v>1502</v>
      </c>
      <c r="AW81" s="2" t="s">
        <v>8038</v>
      </c>
      <c r="BG81" s="7" t="s">
        <v>1503</v>
      </c>
      <c r="BH81" s="1" t="s">
        <v>2129</v>
      </c>
      <c r="BI81" s="2" t="s">
        <v>7230</v>
      </c>
      <c r="BJ81" s="1" t="s">
        <v>2044</v>
      </c>
      <c r="BK81" s="2" t="s">
        <v>2208</v>
      </c>
    </row>
    <row r="82" spans="1:69" ht="162" x14ac:dyDescent="0.45">
      <c r="A82" s="5">
        <v>81</v>
      </c>
      <c r="B82" s="8" t="s">
        <v>1284</v>
      </c>
      <c r="C82" s="6" t="s">
        <v>6852</v>
      </c>
      <c r="D82" s="7" t="s">
        <v>9794</v>
      </c>
      <c r="E82" s="1" t="s">
        <v>4192</v>
      </c>
      <c r="F82" s="1" t="s">
        <v>7236</v>
      </c>
      <c r="G82" s="1" t="s">
        <v>4532</v>
      </c>
      <c r="J82" s="1" t="s">
        <v>9795</v>
      </c>
      <c r="K82" s="2" t="s">
        <v>7237</v>
      </c>
      <c r="L82" s="4" t="s">
        <v>8039</v>
      </c>
      <c r="P82" s="7" t="s">
        <v>1241</v>
      </c>
      <c r="Q82" s="13" t="str">
        <f>INDEX($L:$L, MATCH("potential", $B:$B, 0))</f>
        <v>&lt;span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v>
      </c>
      <c r="R82" s="13"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AU82" s="15"/>
      <c r="AV82" s="1" t="s">
        <v>1502</v>
      </c>
      <c r="BG82" s="7" t="s">
        <v>1503</v>
      </c>
      <c r="BH82" s="1" t="s">
        <v>2034</v>
      </c>
      <c r="BI82" s="2" t="s">
        <v>7238</v>
      </c>
      <c r="BJ82" s="1" t="s">
        <v>1504</v>
      </c>
      <c r="BK82" s="1" t="s">
        <v>2209</v>
      </c>
      <c r="BL82" s="1" t="s">
        <v>2044</v>
      </c>
      <c r="BM82" s="2" t="s">
        <v>2210</v>
      </c>
    </row>
    <row r="83" spans="1:69" ht="216" x14ac:dyDescent="0.45">
      <c r="A83" s="5">
        <v>82</v>
      </c>
      <c r="B83" s="8" t="s">
        <v>1285</v>
      </c>
      <c r="C83" s="6" t="s">
        <v>6852</v>
      </c>
      <c r="D83" s="7" t="s">
        <v>9794</v>
      </c>
      <c r="E83" s="1" t="s">
        <v>27</v>
      </c>
      <c r="F83" s="1" t="s">
        <v>8911</v>
      </c>
      <c r="G83" s="1" t="s">
        <v>49</v>
      </c>
      <c r="J83" s="1" t="s">
        <v>9795</v>
      </c>
      <c r="K83" s="2" t="s">
        <v>7239</v>
      </c>
      <c r="L83" s="4" t="s">
        <v>8040</v>
      </c>
      <c r="P83" s="7" t="s">
        <v>1241</v>
      </c>
      <c r="Q83" s="13" t="str">
        <f>INDEX($L:$L, MATCH("divide", $B:$B, 0))</f>
        <v>&lt;span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v>
      </c>
      <c r="R83" s="14" t="str">
        <f>INDEX($L:$L, MATCH("device", $B:$B, 0))</f>
        <v>&lt;span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v>
      </c>
      <c r="AU83" s="15"/>
      <c r="AV83" s="1" t="s">
        <v>1502</v>
      </c>
      <c r="BG83" s="7" t="s">
        <v>1503</v>
      </c>
      <c r="BH83" s="1" t="s">
        <v>2034</v>
      </c>
      <c r="BI83" s="2" t="s">
        <v>2211</v>
      </c>
      <c r="BJ83" s="1" t="s">
        <v>1980</v>
      </c>
      <c r="BK83" s="2" t="s">
        <v>2212</v>
      </c>
      <c r="BL83" s="1" t="s">
        <v>2044</v>
      </c>
      <c r="BM83" s="2" t="s">
        <v>2213</v>
      </c>
      <c r="BN83" s="1" t="s">
        <v>1877</v>
      </c>
      <c r="BO83" s="2" t="s">
        <v>2214</v>
      </c>
    </row>
    <row r="84" spans="1:69" ht="144" x14ac:dyDescent="0.45">
      <c r="A84" s="5">
        <v>83</v>
      </c>
      <c r="B84" s="8" t="s">
        <v>1286</v>
      </c>
      <c r="C84" s="6" t="s">
        <v>6852</v>
      </c>
      <c r="D84" s="7" t="s">
        <v>9794</v>
      </c>
      <c r="E84" s="1" t="s">
        <v>1896</v>
      </c>
      <c r="F84" s="1" t="s">
        <v>1551</v>
      </c>
      <c r="G84" s="1"/>
      <c r="J84" s="1" t="s">
        <v>9795</v>
      </c>
      <c r="K84" s="2" t="s">
        <v>7240</v>
      </c>
      <c r="L84" s="4" t="s">
        <v>8041</v>
      </c>
      <c r="P84" s="7" t="s">
        <v>1241</v>
      </c>
      <c r="Q84" s="13"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R84" s="13"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AU84" s="15"/>
      <c r="AV84" s="1" t="s">
        <v>1502</v>
      </c>
      <c r="BG84" s="7" t="s">
        <v>1503</v>
      </c>
      <c r="BH84" s="1" t="s">
        <v>4020</v>
      </c>
      <c r="BI84" s="2" t="s">
        <v>7241</v>
      </c>
      <c r="BJ84" s="1" t="s">
        <v>2034</v>
      </c>
      <c r="BK84" s="2" t="s">
        <v>7242</v>
      </c>
      <c r="BL84" s="1" t="s">
        <v>1504</v>
      </c>
      <c r="BM84" s="1" t="s">
        <v>2215</v>
      </c>
      <c r="BN84" s="1" t="s">
        <v>2044</v>
      </c>
      <c r="BO84" s="2" t="s">
        <v>2216</v>
      </c>
      <c r="BP84" s="1" t="s">
        <v>1877</v>
      </c>
      <c r="BQ84" s="2" t="s">
        <v>2217</v>
      </c>
    </row>
    <row r="85" spans="1:69" ht="180" x14ac:dyDescent="0.45">
      <c r="A85" s="5">
        <v>84</v>
      </c>
      <c r="B85" s="8" t="s">
        <v>95</v>
      </c>
      <c r="C85" s="6" t="s">
        <v>6852</v>
      </c>
      <c r="D85" s="7" t="s">
        <v>9794</v>
      </c>
      <c r="E85" s="1" t="s">
        <v>1467</v>
      </c>
      <c r="F85" s="1" t="s">
        <v>8912</v>
      </c>
      <c r="G85" s="1"/>
      <c r="J85" s="1" t="s">
        <v>9795</v>
      </c>
      <c r="K85" s="2" t="s">
        <v>7243</v>
      </c>
      <c r="L85" s="4" t="s">
        <v>8042</v>
      </c>
      <c r="M85" s="1" t="s">
        <v>12195</v>
      </c>
      <c r="P85" s="7" t="s">
        <v>1241</v>
      </c>
      <c r="Q85" s="14"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R85" s="13"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S85" s="13" t="str">
        <f>INDEX($L:$L, MATCH("immune", $B:$B, 0))</f>
        <v>&lt;span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v>
      </c>
      <c r="AI85" s="15"/>
      <c r="AU85" s="15"/>
      <c r="AV85" s="1" t="s">
        <v>1502</v>
      </c>
      <c r="AW85" s="2" t="s">
        <v>8043</v>
      </c>
      <c r="BG85" s="7" t="s">
        <v>1503</v>
      </c>
      <c r="BH85" s="1" t="s">
        <v>2034</v>
      </c>
      <c r="BI85" s="2" t="s">
        <v>2218</v>
      </c>
      <c r="BJ85" s="1" t="s">
        <v>1504</v>
      </c>
      <c r="BK85" s="1" t="s">
        <v>2219</v>
      </c>
      <c r="BL85" s="1" t="s">
        <v>2044</v>
      </c>
      <c r="BM85" s="2" t="s">
        <v>2220</v>
      </c>
    </row>
    <row r="86" spans="1:69" ht="270" x14ac:dyDescent="0.45">
      <c r="A86" s="5">
        <v>85</v>
      </c>
      <c r="B86" s="8" t="s">
        <v>1296</v>
      </c>
      <c r="C86" s="6" t="s">
        <v>6852</v>
      </c>
      <c r="D86" s="7" t="s">
        <v>9794</v>
      </c>
      <c r="E86" s="1" t="s">
        <v>96</v>
      </c>
      <c r="F86" s="1"/>
      <c r="G86" s="1"/>
      <c r="J86" s="1" t="s">
        <v>9795</v>
      </c>
      <c r="K86" s="2" t="s">
        <v>7244</v>
      </c>
      <c r="L86" s="3" t="s">
        <v>8044</v>
      </c>
      <c r="M86" s="1" t="s">
        <v>12172</v>
      </c>
      <c r="P86" s="7" t="s">
        <v>1241</v>
      </c>
      <c r="Q86" s="14" t="str">
        <f>INDEX($L:$L, MATCH("concern", $B:$B, 0))</f>
        <v>&lt;span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v>
      </c>
      <c r="R86" s="14"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AV86" s="1" t="s">
        <v>1502</v>
      </c>
      <c r="BG86" s="7" t="s">
        <v>1503</v>
      </c>
      <c r="BH86" s="1" t="s">
        <v>1976</v>
      </c>
      <c r="BI86" s="1" t="s">
        <v>1977</v>
      </c>
      <c r="BJ86" s="1" t="s">
        <v>1947</v>
      </c>
      <c r="BK86" s="2" t="s">
        <v>7245</v>
      </c>
      <c r="BL86" s="1" t="s">
        <v>2026</v>
      </c>
      <c r="BM86" s="1" t="s">
        <v>2221</v>
      </c>
      <c r="BN86" s="1" t="s">
        <v>1504</v>
      </c>
      <c r="BO86" s="1" t="s">
        <v>2222</v>
      </c>
      <c r="BP86" s="1" t="s">
        <v>2044</v>
      </c>
      <c r="BQ86" s="2" t="s">
        <v>2223</v>
      </c>
    </row>
    <row r="87" spans="1:69" ht="162" x14ac:dyDescent="0.45">
      <c r="A87" s="5">
        <v>86</v>
      </c>
      <c r="B87" s="8" t="s">
        <v>1287</v>
      </c>
      <c r="C87" s="6" t="s">
        <v>6852</v>
      </c>
      <c r="D87" s="7" t="s">
        <v>9794</v>
      </c>
      <c r="E87" s="1" t="s">
        <v>1897</v>
      </c>
      <c r="F87" s="1" t="s">
        <v>1898</v>
      </c>
      <c r="G87" s="1"/>
      <c r="J87" s="1" t="s">
        <v>9795</v>
      </c>
      <c r="K87" s="2" t="s">
        <v>7246</v>
      </c>
      <c r="L87" s="9" t="s">
        <v>8045</v>
      </c>
      <c r="M87" s="1" t="s">
        <v>12197</v>
      </c>
      <c r="P87" s="7" t="s">
        <v>1241</v>
      </c>
      <c r="Q87" s="14"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R87" s="13"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S87" s="13"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AI87" s="15"/>
      <c r="AU87" s="15"/>
      <c r="AV87" s="1" t="s">
        <v>1502</v>
      </c>
      <c r="AW87" s="2" t="s">
        <v>8046</v>
      </c>
      <c r="BG87" s="7" t="s">
        <v>1503</v>
      </c>
      <c r="BH87" s="1" t="s">
        <v>2224</v>
      </c>
      <c r="BI87" s="2" t="s">
        <v>2225</v>
      </c>
      <c r="BJ87" s="1" t="s">
        <v>2034</v>
      </c>
      <c r="BK87" s="2" t="s">
        <v>2226</v>
      </c>
      <c r="BL87" s="1" t="s">
        <v>1967</v>
      </c>
      <c r="BM87" s="1" t="s">
        <v>2227</v>
      </c>
      <c r="BN87" s="1" t="s">
        <v>2017</v>
      </c>
      <c r="BO87" s="1" t="s">
        <v>2228</v>
      </c>
      <c r="BP87" s="1" t="s">
        <v>1877</v>
      </c>
      <c r="BQ87" s="2" t="s">
        <v>2229</v>
      </c>
    </row>
    <row r="88" spans="1:69" ht="90" x14ac:dyDescent="0.45">
      <c r="A88" s="5">
        <v>87</v>
      </c>
      <c r="B88" s="8" t="s">
        <v>1288</v>
      </c>
      <c r="C88" s="6" t="s">
        <v>6852</v>
      </c>
      <c r="D88" s="7" t="s">
        <v>9794</v>
      </c>
      <c r="E88" s="1" t="s">
        <v>1251</v>
      </c>
      <c r="F88" s="1" t="s">
        <v>8913</v>
      </c>
      <c r="G88" s="1"/>
      <c r="J88" s="1" t="s">
        <v>9795</v>
      </c>
      <c r="K88" s="2"/>
      <c r="L88" s="9" t="s">
        <v>8047</v>
      </c>
      <c r="P88" s="7" t="s">
        <v>1241</v>
      </c>
      <c r="Q88" s="15"/>
      <c r="AU88" s="15"/>
      <c r="AV88" s="1" t="s">
        <v>1502</v>
      </c>
      <c r="BG88" s="7" t="s">
        <v>1503</v>
      </c>
      <c r="BH88" s="1" t="s">
        <v>2034</v>
      </c>
      <c r="BI88" s="2" t="s">
        <v>2230</v>
      </c>
      <c r="BJ88" s="1" t="s">
        <v>2044</v>
      </c>
      <c r="BK88" s="2" t="s">
        <v>2231</v>
      </c>
      <c r="BL88" s="1" t="s">
        <v>1877</v>
      </c>
      <c r="BM88" s="2" t="s">
        <v>2232</v>
      </c>
    </row>
    <row r="89" spans="1:69" ht="180" x14ac:dyDescent="0.45">
      <c r="A89" s="5">
        <v>88</v>
      </c>
      <c r="B89" s="8" t="s">
        <v>97</v>
      </c>
      <c r="C89" s="6" t="s">
        <v>6852</v>
      </c>
      <c r="D89" s="7" t="s">
        <v>9794</v>
      </c>
      <c r="E89" s="1" t="s">
        <v>1899</v>
      </c>
      <c r="F89" s="1" t="s">
        <v>1900</v>
      </c>
      <c r="G89" s="1"/>
      <c r="J89" s="1" t="s">
        <v>9795</v>
      </c>
      <c r="K89" s="2" t="s">
        <v>7247</v>
      </c>
      <c r="L89" s="4" t="s">
        <v>8048</v>
      </c>
      <c r="P89" s="7" t="s">
        <v>1241</v>
      </c>
      <c r="Q89" s="14" t="str">
        <f>INDEX($L:$L, MATCH("maximum", $B:$B, 0))</f>
        <v>&lt;span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v>
      </c>
      <c r="R89" s="13"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S89" s="15"/>
      <c r="AI89" s="15"/>
      <c r="AV89" s="1" t="s">
        <v>1502</v>
      </c>
      <c r="AW89" s="2" t="s">
        <v>8049</v>
      </c>
      <c r="BG89" s="7" t="s">
        <v>1503</v>
      </c>
      <c r="BH89" s="1" t="s">
        <v>1976</v>
      </c>
      <c r="BI89" s="1" t="s">
        <v>2233</v>
      </c>
      <c r="BJ89" s="1" t="s">
        <v>2034</v>
      </c>
      <c r="BK89" s="2" t="s">
        <v>2234</v>
      </c>
      <c r="BL89" s="1" t="s">
        <v>2044</v>
      </c>
      <c r="BM89" s="2" t="s">
        <v>2235</v>
      </c>
      <c r="BO89" s="2"/>
    </row>
    <row r="90" spans="1:69" ht="342" x14ac:dyDescent="0.45">
      <c r="A90" s="5">
        <v>89</v>
      </c>
      <c r="B90" s="8" t="s">
        <v>1289</v>
      </c>
      <c r="C90" s="6" t="s">
        <v>6852</v>
      </c>
      <c r="D90" s="7" t="s">
        <v>9794</v>
      </c>
      <c r="E90" s="1" t="s">
        <v>1901</v>
      </c>
      <c r="F90" s="1" t="s">
        <v>1698</v>
      </c>
      <c r="G90" s="1"/>
      <c r="J90" s="1" t="s">
        <v>9795</v>
      </c>
      <c r="K90" s="2" t="s">
        <v>7248</v>
      </c>
      <c r="L90" s="9" t="s">
        <v>8050</v>
      </c>
      <c r="M90" s="1" t="s">
        <v>12198</v>
      </c>
      <c r="P90" s="7" t="s">
        <v>1241</v>
      </c>
      <c r="Q90" s="14" t="str">
        <f>INDEX($L:$L, MATCH("passive", $B:$B, 0))</f>
        <v>&lt;span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v>
      </c>
      <c r="R90" s="14" t="str">
        <f>INDEX($L:$L, MATCH("passion", $B:$B, 0))</f>
        <v>&lt;span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v>
      </c>
      <c r="S90" s="13" t="str">
        <f>INDEX($L:$L, MATCH("compassion", $B:$B, 0))</f>
        <v>&lt;span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v>
      </c>
      <c r="AU90" s="15"/>
      <c r="AV90" s="1" t="s">
        <v>1502</v>
      </c>
      <c r="BG90" s="7" t="s">
        <v>1503</v>
      </c>
      <c r="BH90" s="1" t="s">
        <v>2034</v>
      </c>
      <c r="BI90" s="2" t="s">
        <v>2236</v>
      </c>
      <c r="BJ90" s="1" t="s">
        <v>1504</v>
      </c>
      <c r="BK90" s="1" t="s">
        <v>2237</v>
      </c>
      <c r="BL90" s="1" t="s">
        <v>2044</v>
      </c>
      <c r="BM90" s="2" t="s">
        <v>2238</v>
      </c>
    </row>
    <row r="91" spans="1:69" ht="342" x14ac:dyDescent="0.45">
      <c r="A91" s="5">
        <v>90</v>
      </c>
      <c r="B91" s="8" t="s">
        <v>1291</v>
      </c>
      <c r="C91" s="6" t="s">
        <v>6852</v>
      </c>
      <c r="D91" s="7" t="s">
        <v>9794</v>
      </c>
      <c r="E91" s="1" t="s">
        <v>5539</v>
      </c>
      <c r="F91" s="1" t="s">
        <v>8914</v>
      </c>
      <c r="G91" s="1" t="s">
        <v>1542</v>
      </c>
      <c r="J91" s="1" t="s">
        <v>9795</v>
      </c>
      <c r="K91" s="2" t="s">
        <v>7249</v>
      </c>
      <c r="L91" s="4" t="s">
        <v>10469</v>
      </c>
      <c r="M91" s="1" t="s">
        <v>12192</v>
      </c>
      <c r="P91" s="7" t="s">
        <v>1241</v>
      </c>
      <c r="Q91" s="14"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91" s="13"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S91"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T91" s="13"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U91" s="14"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V91" s="14"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W91" s="14"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X91" s="14" t="str">
        <f>INDEX($L:$L, MATCH("molecule", $B:$B, 0))</f>
        <v>&lt;span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v>
      </c>
      <c r="Y91" s="13" t="str">
        <f>INDEX($L:$L, MATCH("nuclear", $B:$B, 0))</f>
        <v>&lt;span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v>
      </c>
      <c r="AI91" s="15"/>
      <c r="AJ91" s="15"/>
      <c r="AU91" s="15"/>
      <c r="AV91" s="1" t="s">
        <v>1502</v>
      </c>
      <c r="AW91" s="2" t="s">
        <v>8051</v>
      </c>
      <c r="AX91" s="2" t="s">
        <v>8052</v>
      </c>
      <c r="BG91" s="7" t="s">
        <v>1503</v>
      </c>
      <c r="BH91" s="1" t="s">
        <v>2034</v>
      </c>
      <c r="BI91" s="2" t="s">
        <v>2239</v>
      </c>
      <c r="BJ91" s="1" t="s">
        <v>2147</v>
      </c>
      <c r="BK91" s="2" t="s">
        <v>2240</v>
      </c>
      <c r="BL91" s="1" t="s">
        <v>1504</v>
      </c>
      <c r="BM91" s="1" t="s">
        <v>2241</v>
      </c>
      <c r="BN91" s="1" t="s">
        <v>2044</v>
      </c>
      <c r="BO91" s="2" t="s">
        <v>2242</v>
      </c>
      <c r="BP91" s="1" t="s">
        <v>1865</v>
      </c>
      <c r="BQ91" s="2" t="s">
        <v>2243</v>
      </c>
    </row>
    <row r="92" spans="1:69" ht="180" x14ac:dyDescent="0.45">
      <c r="A92" s="5">
        <v>91</v>
      </c>
      <c r="B92" s="8" t="s">
        <v>1292</v>
      </c>
      <c r="C92" s="6" t="s">
        <v>6852</v>
      </c>
      <c r="D92" s="7" t="s">
        <v>9794</v>
      </c>
      <c r="E92" s="1" t="s">
        <v>8915</v>
      </c>
      <c r="F92" s="1" t="s">
        <v>49</v>
      </c>
      <c r="G92" s="1"/>
      <c r="J92" s="1" t="s">
        <v>9795</v>
      </c>
      <c r="K92" s="2" t="s">
        <v>7250</v>
      </c>
      <c r="L92" s="4" t="s">
        <v>8053</v>
      </c>
      <c r="P92" s="7" t="s">
        <v>1241</v>
      </c>
      <c r="Q92" s="19" t="str">
        <f>INDEX($L:$L, MATCH("physician", $B:$B, 0))</f>
        <v>&lt;span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v>
      </c>
      <c r="AU92" s="15"/>
      <c r="AV92" s="1" t="s">
        <v>1502</v>
      </c>
      <c r="BG92" s="7" t="s">
        <v>1503</v>
      </c>
      <c r="BH92" s="1" t="s">
        <v>6701</v>
      </c>
      <c r="BI92" s="2" t="s">
        <v>2244</v>
      </c>
      <c r="BJ92" s="1" t="s">
        <v>1947</v>
      </c>
      <c r="BK92" s="2" t="s">
        <v>2245</v>
      </c>
      <c r="BL92" s="1" t="s">
        <v>1980</v>
      </c>
      <c r="BM92" s="2" t="s">
        <v>2246</v>
      </c>
      <c r="BN92" s="1" t="s">
        <v>2044</v>
      </c>
      <c r="BO92" s="2" t="s">
        <v>2247</v>
      </c>
      <c r="BP92" s="1" t="s">
        <v>1865</v>
      </c>
      <c r="BQ92" s="2" t="s">
        <v>2248</v>
      </c>
    </row>
    <row r="93" spans="1:69" ht="90" x14ac:dyDescent="0.45">
      <c r="A93" s="5">
        <v>92</v>
      </c>
      <c r="B93" s="8" t="s">
        <v>1294</v>
      </c>
      <c r="C93" s="6" t="s">
        <v>6852</v>
      </c>
      <c r="D93" s="7" t="s">
        <v>9794</v>
      </c>
      <c r="E93" s="1" t="s">
        <v>1902</v>
      </c>
      <c r="F93" s="1" t="s">
        <v>1775</v>
      </c>
      <c r="G93" s="1"/>
      <c r="J93" s="1" t="s">
        <v>9795</v>
      </c>
      <c r="K93" s="2" t="s">
        <v>7251</v>
      </c>
      <c r="L93" s="4" t="s">
        <v>8054</v>
      </c>
      <c r="P93" s="7" t="s">
        <v>1241</v>
      </c>
      <c r="Q93" s="20" t="str">
        <f>INDEX($L:$L, MATCH("vary", $B:$B, 0))</f>
        <v>&lt;span class="w"&gt;&lt;b&gt;【306.vary：様々である, 変わる】&lt;/b&gt;&lt;/span&gt;
&lt;span class="ml"&gt;ラテン語varius（様々な）に由来する。
&lt;span class="spacer"&gt;&lt;/span&gt;「様々な」が動詞になって「様々である, （いろいろと）変わる, 異なる」といった意味になる。&lt;/span&gt;</v>
      </c>
      <c r="R93" s="21" t="s">
        <v>12147</v>
      </c>
      <c r="AV93" s="1" t="s">
        <v>1502</v>
      </c>
      <c r="BG93" s="7" t="s">
        <v>1503</v>
      </c>
      <c r="BH93" s="1" t="s">
        <v>1947</v>
      </c>
      <c r="BI93" s="1" t="s">
        <v>2249</v>
      </c>
      <c r="BJ93" s="1" t="s">
        <v>2044</v>
      </c>
      <c r="BK93" s="2" t="s">
        <v>2250</v>
      </c>
      <c r="BL93" s="1" t="s">
        <v>1877</v>
      </c>
      <c r="BM93" s="2" t="s">
        <v>2251</v>
      </c>
    </row>
    <row r="94" spans="1:69" ht="216" x14ac:dyDescent="0.45">
      <c r="A94" s="5">
        <v>93</v>
      </c>
      <c r="B94" s="8" t="s">
        <v>1295</v>
      </c>
      <c r="C94" s="6" t="s">
        <v>6852</v>
      </c>
      <c r="D94" s="7" t="s">
        <v>9794</v>
      </c>
      <c r="E94" s="1" t="s">
        <v>1621</v>
      </c>
      <c r="F94" s="1" t="s">
        <v>1903</v>
      </c>
      <c r="G94" s="1" t="s">
        <v>1456</v>
      </c>
      <c r="J94" s="1" t="s">
        <v>9795</v>
      </c>
      <c r="K94" s="2" t="s">
        <v>7252</v>
      </c>
      <c r="L94" s="4" t="s">
        <v>8055</v>
      </c>
      <c r="M94" s="1" t="s">
        <v>12199</v>
      </c>
      <c r="P94" s="7" t="s">
        <v>1241</v>
      </c>
      <c r="Q94" s="14"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94" s="14"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S94" s="14"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T94" s="14"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94" s="13"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AU94" s="15"/>
      <c r="AV94" s="1" t="s">
        <v>1502</v>
      </c>
      <c r="BG94" s="7" t="s">
        <v>1503</v>
      </c>
      <c r="BH94" s="1" t="s">
        <v>1947</v>
      </c>
      <c r="BI94" s="2" t="s">
        <v>7253</v>
      </c>
      <c r="BJ94" s="1" t="s">
        <v>1504</v>
      </c>
      <c r="BK94" s="1" t="s">
        <v>7254</v>
      </c>
      <c r="BL94" s="1" t="s">
        <v>2044</v>
      </c>
      <c r="BM94" s="2" t="s">
        <v>2252</v>
      </c>
      <c r="BN94" s="1" t="s">
        <v>1877</v>
      </c>
      <c r="BO94" s="2" t="s">
        <v>2253</v>
      </c>
    </row>
    <row r="95" spans="1:69" ht="396" x14ac:dyDescent="0.45">
      <c r="A95" s="5">
        <v>94</v>
      </c>
      <c r="B95" s="8" t="s">
        <v>1297</v>
      </c>
      <c r="C95" s="6" t="s">
        <v>6852</v>
      </c>
      <c r="D95" s="7" t="s">
        <v>9794</v>
      </c>
      <c r="E95" s="1" t="s">
        <v>1904</v>
      </c>
      <c r="F95" s="1" t="s">
        <v>1528</v>
      </c>
      <c r="G95" s="1"/>
      <c r="J95" s="1" t="s">
        <v>9795</v>
      </c>
      <c r="K95" s="2" t="s">
        <v>7255</v>
      </c>
      <c r="L95" s="4" t="s">
        <v>8056</v>
      </c>
      <c r="M95" s="1" t="s">
        <v>12200</v>
      </c>
      <c r="P95" s="7" t="s">
        <v>1241</v>
      </c>
      <c r="Q95" s="14"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R95" s="14"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S95" s="14"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T95" s="14"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U95" s="14"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V95" s="14"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95" s="14"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95" s="14"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95" s="1" t="s">
        <v>1502</v>
      </c>
      <c r="BG95" s="7" t="s">
        <v>1503</v>
      </c>
      <c r="BH95" s="1" t="s">
        <v>2254</v>
      </c>
      <c r="BI95" s="1" t="s">
        <v>2255</v>
      </c>
      <c r="BJ95" s="1" t="s">
        <v>4020</v>
      </c>
      <c r="BK95" s="2" t="s">
        <v>2256</v>
      </c>
      <c r="BL95" s="1" t="s">
        <v>1947</v>
      </c>
      <c r="BM95" s="2" t="s">
        <v>7256</v>
      </c>
      <c r="BN95" s="1" t="s">
        <v>1504</v>
      </c>
      <c r="BO95" s="1" t="s">
        <v>2257</v>
      </c>
      <c r="BP95" s="1" t="s">
        <v>2044</v>
      </c>
      <c r="BQ95" s="2" t="s">
        <v>2258</v>
      </c>
    </row>
    <row r="96" spans="1:69" ht="216" x14ac:dyDescent="0.45">
      <c r="A96" s="5">
        <v>95</v>
      </c>
      <c r="B96" s="8" t="s">
        <v>1298</v>
      </c>
      <c r="C96" s="6" t="s">
        <v>6852</v>
      </c>
      <c r="D96" s="7" t="s">
        <v>9794</v>
      </c>
      <c r="E96" s="1" t="s">
        <v>1905</v>
      </c>
      <c r="F96" s="1" t="s">
        <v>1551</v>
      </c>
      <c r="G96" s="1" t="s">
        <v>49</v>
      </c>
      <c r="J96" s="1" t="s">
        <v>9795</v>
      </c>
      <c r="K96" s="2" t="s">
        <v>7257</v>
      </c>
      <c r="L96" s="4" t="s">
        <v>8057</v>
      </c>
      <c r="P96" s="7" t="s">
        <v>1241</v>
      </c>
      <c r="Q96" s="13"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R96" s="13" t="str">
        <f>INDEX($L:$L, MATCH("metropolitan", $B:$B, 0))</f>
        <v>&lt;span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v>
      </c>
      <c r="AU96" s="15"/>
      <c r="AV96" s="1" t="s">
        <v>1502</v>
      </c>
      <c r="BG96" s="7" t="s">
        <v>1503</v>
      </c>
      <c r="BH96" s="1" t="s">
        <v>6701</v>
      </c>
      <c r="BI96" s="2" t="s">
        <v>7258</v>
      </c>
      <c r="BJ96" s="1" t="s">
        <v>1947</v>
      </c>
      <c r="BK96" s="2" t="s">
        <v>2259</v>
      </c>
      <c r="BL96" s="1" t="s">
        <v>1504</v>
      </c>
      <c r="BM96" s="1" t="s">
        <v>2260</v>
      </c>
      <c r="BN96" s="1" t="s">
        <v>2044</v>
      </c>
      <c r="BO96" s="2" t="s">
        <v>2261</v>
      </c>
      <c r="BP96" s="1" t="s">
        <v>1865</v>
      </c>
      <c r="BQ96" s="2" t="s">
        <v>7259</v>
      </c>
    </row>
    <row r="97" spans="1:69" ht="409.6" x14ac:dyDescent="0.45">
      <c r="A97" s="5">
        <v>96</v>
      </c>
      <c r="B97" s="8" t="s">
        <v>98</v>
      </c>
      <c r="C97" s="6" t="s">
        <v>6852</v>
      </c>
      <c r="D97" s="7" t="s">
        <v>9794</v>
      </c>
      <c r="E97" s="1" t="s">
        <v>98</v>
      </c>
      <c r="F97" s="1"/>
      <c r="G97" s="1"/>
      <c r="J97" s="1" t="s">
        <v>9795</v>
      </c>
      <c r="K97" s="2" t="s">
        <v>7260</v>
      </c>
      <c r="L97" s="4" t="s">
        <v>10145</v>
      </c>
      <c r="M97" s="1" t="s">
        <v>12201</v>
      </c>
      <c r="P97" s="7" t="s">
        <v>1241</v>
      </c>
      <c r="Q97" s="13"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R97" s="13"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AI97" s="15"/>
      <c r="AJ97" s="15"/>
      <c r="AK97" s="15"/>
      <c r="AL97" s="15"/>
      <c r="AU97" s="15"/>
      <c r="AV97" s="1" t="s">
        <v>1502</v>
      </c>
      <c r="AW97" s="2" t="s">
        <v>8058</v>
      </c>
      <c r="AX97" s="2" t="s">
        <v>8059</v>
      </c>
      <c r="AY97" s="2" t="s">
        <v>8060</v>
      </c>
      <c r="AZ97" s="2" t="s">
        <v>8061</v>
      </c>
      <c r="BG97" s="7" t="s">
        <v>1503</v>
      </c>
      <c r="BH97" s="1" t="s">
        <v>1947</v>
      </c>
      <c r="BI97" s="2" t="s">
        <v>2264</v>
      </c>
      <c r="BJ97" s="1" t="s">
        <v>1504</v>
      </c>
      <c r="BK97" s="2" t="s">
        <v>2265</v>
      </c>
      <c r="BL97" s="1" t="s">
        <v>2044</v>
      </c>
      <c r="BM97" s="2" t="s">
        <v>2266</v>
      </c>
      <c r="BN97" s="1" t="s">
        <v>1865</v>
      </c>
      <c r="BO97" s="2" t="s">
        <v>2267</v>
      </c>
    </row>
    <row r="98" spans="1:69" ht="90" x14ac:dyDescent="0.45">
      <c r="A98" s="5">
        <v>97</v>
      </c>
      <c r="B98" s="8" t="s">
        <v>1299</v>
      </c>
      <c r="C98" s="6" t="s">
        <v>6852</v>
      </c>
      <c r="D98" s="7" t="s">
        <v>9794</v>
      </c>
      <c r="E98" s="1" t="s">
        <v>99</v>
      </c>
      <c r="F98" s="1"/>
      <c r="G98" s="1"/>
      <c r="J98" s="1" t="s">
        <v>9795</v>
      </c>
      <c r="K98" s="2" t="s">
        <v>12128</v>
      </c>
      <c r="L98" s="9" t="s">
        <v>8062</v>
      </c>
      <c r="P98" s="7" t="s">
        <v>1241</v>
      </c>
      <c r="Q98" s="19" t="str">
        <f>INDEX($L:$L, MATCH("blink", $B:$B, 0))</f>
        <v>&lt;span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v>
      </c>
      <c r="AV98" s="1" t="s">
        <v>1502</v>
      </c>
      <c r="BG98" s="7" t="s">
        <v>1503</v>
      </c>
      <c r="BH98" s="1" t="s">
        <v>2268</v>
      </c>
      <c r="BI98" s="1" t="s">
        <v>2269</v>
      </c>
      <c r="BJ98" s="1" t="s">
        <v>1959</v>
      </c>
      <c r="BK98" s="1" t="s">
        <v>2270</v>
      </c>
      <c r="BL98" s="1" t="s">
        <v>2044</v>
      </c>
      <c r="BM98" s="2" t="s">
        <v>2271</v>
      </c>
      <c r="BN98" s="1" t="s">
        <v>1865</v>
      </c>
      <c r="BO98" s="2" t="s">
        <v>2272</v>
      </c>
    </row>
    <row r="99" spans="1:69" ht="216" x14ac:dyDescent="0.45">
      <c r="A99" s="5">
        <v>98</v>
      </c>
      <c r="B99" s="8" t="s">
        <v>1300</v>
      </c>
      <c r="C99" s="6" t="s">
        <v>6852</v>
      </c>
      <c r="D99" s="7" t="s">
        <v>9794</v>
      </c>
      <c r="E99" s="1" t="s">
        <v>1906</v>
      </c>
      <c r="F99" s="1" t="s">
        <v>1907</v>
      </c>
      <c r="G99" s="1"/>
      <c r="J99" s="1" t="s">
        <v>9795</v>
      </c>
      <c r="K99" s="2" t="s">
        <v>7261</v>
      </c>
      <c r="L99" s="4" t="s">
        <v>8063</v>
      </c>
      <c r="M99" s="1" t="s">
        <v>12202</v>
      </c>
      <c r="P99" s="7" t="s">
        <v>1241</v>
      </c>
      <c r="Q99"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R99" s="14"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S99" s="14"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T99" s="14"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AV99" s="1" t="s">
        <v>1502</v>
      </c>
      <c r="BG99" s="7" t="s">
        <v>1503</v>
      </c>
      <c r="BH99" s="1" t="s">
        <v>1947</v>
      </c>
      <c r="BI99" s="1" t="s">
        <v>2273</v>
      </c>
      <c r="BJ99" s="1" t="s">
        <v>2048</v>
      </c>
      <c r="BK99" s="1" t="s">
        <v>2274</v>
      </c>
      <c r="BL99" s="1" t="s">
        <v>1959</v>
      </c>
      <c r="BM99" s="1" t="s">
        <v>2275</v>
      </c>
      <c r="BN99" s="1" t="s">
        <v>2044</v>
      </c>
      <c r="BO99" s="2" t="s">
        <v>2276</v>
      </c>
      <c r="BP99" s="1" t="s">
        <v>1865</v>
      </c>
      <c r="BQ99" s="2" t="s">
        <v>7262</v>
      </c>
    </row>
    <row r="100" spans="1:69" ht="270" x14ac:dyDescent="0.45">
      <c r="A100" s="5">
        <v>99</v>
      </c>
      <c r="B100" s="8" t="s">
        <v>1301</v>
      </c>
      <c r="C100" s="6" t="s">
        <v>6852</v>
      </c>
      <c r="D100" s="7" t="s">
        <v>9794</v>
      </c>
      <c r="E100" s="1" t="s">
        <v>1859</v>
      </c>
      <c r="F100" s="1" t="s">
        <v>8916</v>
      </c>
      <c r="G100" s="1"/>
      <c r="J100" s="1" t="s">
        <v>9795</v>
      </c>
      <c r="K100" s="2" t="s">
        <v>9079</v>
      </c>
      <c r="L100" s="4" t="s">
        <v>8064</v>
      </c>
      <c r="M100" s="1" t="s">
        <v>12194</v>
      </c>
      <c r="P100" s="7" t="s">
        <v>1241</v>
      </c>
      <c r="Q100" s="14"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00" s="14"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S100" s="14"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100" s="14"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100" s="13"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AU100" s="15"/>
      <c r="AV100" s="1" t="s">
        <v>1502</v>
      </c>
      <c r="BG100" s="7" t="s">
        <v>1503</v>
      </c>
      <c r="BH100" s="1" t="s">
        <v>1947</v>
      </c>
      <c r="BI100" s="2" t="s">
        <v>2277</v>
      </c>
      <c r="BJ100" s="1" t="s">
        <v>1996</v>
      </c>
      <c r="BK100" s="1" t="s">
        <v>2278</v>
      </c>
      <c r="BL100" s="1" t="s">
        <v>1877</v>
      </c>
      <c r="BM100" s="2" t="s">
        <v>2279</v>
      </c>
    </row>
    <row r="101" spans="1:69" ht="198" x14ac:dyDescent="0.45">
      <c r="A101" s="5">
        <v>100</v>
      </c>
      <c r="B101" s="8" t="s">
        <v>1302</v>
      </c>
      <c r="C101" s="6" t="s">
        <v>6853</v>
      </c>
      <c r="D101" s="7" t="s">
        <v>9794</v>
      </c>
      <c r="E101" s="1" t="s">
        <v>1327</v>
      </c>
      <c r="F101" s="1" t="s">
        <v>8917</v>
      </c>
      <c r="G101" s="1"/>
      <c r="J101" s="1" t="s">
        <v>9795</v>
      </c>
      <c r="K101" s="2" t="s">
        <v>7263</v>
      </c>
      <c r="L101" s="9" t="s">
        <v>8626</v>
      </c>
      <c r="M101" s="1" t="s">
        <v>12189</v>
      </c>
      <c r="P101" s="7" t="s">
        <v>1241</v>
      </c>
      <c r="Q101"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101"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101" s="13"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101" s="13"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101"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01"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W101"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X101" s="13"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Y101"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Z101" s="13"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AI101" s="15"/>
      <c r="AU101" s="15"/>
      <c r="AV101" s="1" t="s">
        <v>1502</v>
      </c>
      <c r="AW101" s="2" t="s">
        <v>8065</v>
      </c>
      <c r="BG101" s="7" t="s">
        <v>1503</v>
      </c>
      <c r="BH101" s="1" t="s">
        <v>1947</v>
      </c>
      <c r="BI101" s="2" t="s">
        <v>2280</v>
      </c>
      <c r="BJ101" s="1" t="s">
        <v>1504</v>
      </c>
      <c r="BK101" s="2" t="s">
        <v>2281</v>
      </c>
      <c r="BL101" s="1" t="s">
        <v>2044</v>
      </c>
      <c r="BM101" s="2" t="s">
        <v>2282</v>
      </c>
      <c r="BN101" s="1" t="s">
        <v>1877</v>
      </c>
      <c r="BO101" s="2" t="s">
        <v>2283</v>
      </c>
    </row>
    <row r="102" spans="1:69" ht="306" x14ac:dyDescent="0.45">
      <c r="A102" s="5">
        <v>101</v>
      </c>
      <c r="B102" s="8" t="s">
        <v>1303</v>
      </c>
      <c r="C102" s="6" t="s">
        <v>1816</v>
      </c>
      <c r="D102" s="7" t="s">
        <v>9794</v>
      </c>
      <c r="E102" s="1" t="s">
        <v>1908</v>
      </c>
      <c r="F102" s="1" t="s">
        <v>1854</v>
      </c>
      <c r="G102" s="1"/>
      <c r="J102" s="1" t="s">
        <v>9795</v>
      </c>
      <c r="K102" s="2" t="s">
        <v>7265</v>
      </c>
      <c r="L102" s="4" t="s">
        <v>8066</v>
      </c>
      <c r="M102" s="1" t="s">
        <v>12190</v>
      </c>
      <c r="P102" s="7" t="s">
        <v>1241</v>
      </c>
      <c r="Q102"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02" s="1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102"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102" s="1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U102" s="1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V102" s="14"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102" s="14"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102" s="14"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102" s="14"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102"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102" s="1" t="s">
        <v>1502</v>
      </c>
      <c r="BG102" s="7" t="s">
        <v>1503</v>
      </c>
      <c r="BH102" s="1" t="s">
        <v>2254</v>
      </c>
      <c r="BI102" s="1" t="s">
        <v>2284</v>
      </c>
      <c r="BJ102" s="1" t="s">
        <v>1947</v>
      </c>
      <c r="BK102" s="2" t="s">
        <v>2285</v>
      </c>
      <c r="BL102" s="1" t="s">
        <v>1504</v>
      </c>
      <c r="BM102" s="2" t="s">
        <v>2286</v>
      </c>
      <c r="BN102" s="1" t="s">
        <v>1877</v>
      </c>
      <c r="BO102" s="2" t="s">
        <v>2483</v>
      </c>
    </row>
    <row r="103" spans="1:69" ht="409.6" x14ac:dyDescent="0.45">
      <c r="A103" s="5">
        <v>102</v>
      </c>
      <c r="B103" s="8" t="s">
        <v>1304</v>
      </c>
      <c r="C103" s="6" t="s">
        <v>1816</v>
      </c>
      <c r="D103" s="7" t="s">
        <v>9794</v>
      </c>
      <c r="E103" s="1" t="s">
        <v>1251</v>
      </c>
      <c r="F103" s="1" t="s">
        <v>1250</v>
      </c>
      <c r="G103" s="1"/>
      <c r="J103" s="1" t="s">
        <v>9795</v>
      </c>
      <c r="K103" s="2" t="s">
        <v>7266</v>
      </c>
      <c r="L103" s="3" t="s">
        <v>10073</v>
      </c>
      <c r="M103" s="1" t="s">
        <v>12169</v>
      </c>
      <c r="P103" s="7" t="s">
        <v>1241</v>
      </c>
      <c r="Q103" s="1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03" s="1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S103" s="1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T103" s="1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U103" s="13"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V103" s="13"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103" s="13"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103" s="1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103" s="15"/>
      <c r="AV103" s="1" t="s">
        <v>1502</v>
      </c>
      <c r="BG103" s="7" t="s">
        <v>1503</v>
      </c>
      <c r="BH103" s="1" t="s">
        <v>1947</v>
      </c>
      <c r="BI103" s="2" t="s">
        <v>7267</v>
      </c>
      <c r="BJ103" s="1" t="s">
        <v>1504</v>
      </c>
      <c r="BK103" s="2" t="s">
        <v>7268</v>
      </c>
      <c r="BL103" s="1" t="s">
        <v>2044</v>
      </c>
      <c r="BM103" s="2" t="s">
        <v>7269</v>
      </c>
      <c r="BN103" s="1" t="s">
        <v>1877</v>
      </c>
      <c r="BO103" s="2" t="s">
        <v>2287</v>
      </c>
    </row>
    <row r="104" spans="1:69" ht="108" x14ac:dyDescent="0.45">
      <c r="A104" s="5">
        <v>103</v>
      </c>
      <c r="B104" s="8" t="s">
        <v>1305</v>
      </c>
      <c r="C104" s="6" t="s">
        <v>1816</v>
      </c>
      <c r="D104" s="7" t="s">
        <v>9794</v>
      </c>
      <c r="E104" s="1" t="s">
        <v>1329</v>
      </c>
      <c r="F104" s="1" t="s">
        <v>8918</v>
      </c>
      <c r="G104" s="1"/>
      <c r="J104" s="1" t="s">
        <v>9795</v>
      </c>
      <c r="K104" s="2" t="s">
        <v>7270</v>
      </c>
      <c r="L104" s="9" t="s">
        <v>8067</v>
      </c>
      <c r="P104" s="7" t="s">
        <v>1241</v>
      </c>
      <c r="AU104" s="15"/>
      <c r="AV104" s="1" t="s">
        <v>1502</v>
      </c>
      <c r="BG104" s="7" t="s">
        <v>1503</v>
      </c>
      <c r="BH104" s="1" t="s">
        <v>1947</v>
      </c>
      <c r="BI104" s="2" t="s">
        <v>7271</v>
      </c>
      <c r="BJ104" s="1" t="s">
        <v>2147</v>
      </c>
      <c r="BK104" s="2" t="s">
        <v>2288</v>
      </c>
      <c r="BL104" s="1" t="s">
        <v>1504</v>
      </c>
      <c r="BM104" s="2" t="s">
        <v>2289</v>
      </c>
      <c r="BN104" s="1" t="s">
        <v>2114</v>
      </c>
      <c r="BO104" s="1" t="s">
        <v>2290</v>
      </c>
      <c r="BP104" s="1" t="s">
        <v>2044</v>
      </c>
      <c r="BQ104" s="2" t="s">
        <v>2291</v>
      </c>
    </row>
    <row r="105" spans="1:69" ht="54" x14ac:dyDescent="0.45">
      <c r="A105" s="5">
        <v>104</v>
      </c>
      <c r="B105" s="8" t="s">
        <v>1306</v>
      </c>
      <c r="C105" s="6" t="s">
        <v>1816</v>
      </c>
      <c r="D105" s="7" t="s">
        <v>9794</v>
      </c>
      <c r="E105" s="1" t="s">
        <v>1128</v>
      </c>
      <c r="F105" s="1"/>
      <c r="G105" s="1"/>
      <c r="J105" s="1" t="s">
        <v>9795</v>
      </c>
      <c r="K105" s="2" t="s">
        <v>7272</v>
      </c>
      <c r="L105" s="9" t="s">
        <v>8068</v>
      </c>
      <c r="P105" s="7" t="s">
        <v>1241</v>
      </c>
      <c r="AV105" s="1" t="s">
        <v>1502</v>
      </c>
      <c r="BG105" s="7" t="s">
        <v>1503</v>
      </c>
      <c r="BH105" s="1" t="s">
        <v>2129</v>
      </c>
      <c r="BI105" s="1" t="s">
        <v>2292</v>
      </c>
      <c r="BJ105" s="1" t="s">
        <v>2044</v>
      </c>
      <c r="BK105" s="2" t="s">
        <v>2293</v>
      </c>
    </row>
    <row r="106" spans="1:69" ht="162" x14ac:dyDescent="0.45">
      <c r="A106" s="5">
        <v>105</v>
      </c>
      <c r="B106" s="8" t="s">
        <v>1307</v>
      </c>
      <c r="C106" s="6" t="s">
        <v>1816</v>
      </c>
      <c r="D106" s="7" t="s">
        <v>9794</v>
      </c>
      <c r="E106" s="1" t="s">
        <v>8919</v>
      </c>
      <c r="F106" s="1"/>
      <c r="G106" s="1"/>
      <c r="J106" s="1" t="s">
        <v>9795</v>
      </c>
      <c r="K106" s="2" t="s">
        <v>7273</v>
      </c>
      <c r="L106" s="4" t="s">
        <v>8069</v>
      </c>
      <c r="P106" s="7" t="s">
        <v>1241</v>
      </c>
      <c r="Q106" s="22" t="str">
        <f>INDEX($L:$L, MATCH("image", $B:$B, 0))</f>
        <v>&lt;span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v>
      </c>
      <c r="R106" s="22" t="str">
        <f>INDEX($L:$L, MATCH("imitate", $B:$B, 0))</f>
        <v>&lt;span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v>
      </c>
      <c r="AU106" s="15"/>
      <c r="AV106" s="1" t="s">
        <v>1502</v>
      </c>
      <c r="BG106" s="7" t="s">
        <v>1503</v>
      </c>
      <c r="BH106" s="1" t="s">
        <v>1947</v>
      </c>
      <c r="BI106" s="2" t="s">
        <v>7274</v>
      </c>
      <c r="BJ106" s="1" t="s">
        <v>2147</v>
      </c>
      <c r="BK106" s="2" t="s">
        <v>2294</v>
      </c>
      <c r="BL106" s="1" t="s">
        <v>1504</v>
      </c>
      <c r="BM106" s="2" t="s">
        <v>2295</v>
      </c>
      <c r="BN106" s="1" t="s">
        <v>2044</v>
      </c>
      <c r="BO106" s="2" t="s">
        <v>2296</v>
      </c>
    </row>
    <row r="107" spans="1:69" ht="252" x14ac:dyDescent="0.45">
      <c r="A107" s="5">
        <v>106</v>
      </c>
      <c r="B107" s="8" t="s">
        <v>1518</v>
      </c>
      <c r="C107" s="6" t="s">
        <v>1816</v>
      </c>
      <c r="D107" s="7" t="s">
        <v>9794</v>
      </c>
      <c r="E107" s="1" t="s">
        <v>1251</v>
      </c>
      <c r="F107" s="1" t="s">
        <v>6921</v>
      </c>
      <c r="G107" s="1" t="s">
        <v>5677</v>
      </c>
      <c r="H107" s="1" t="s">
        <v>1519</v>
      </c>
      <c r="J107" s="1" t="s">
        <v>9795</v>
      </c>
      <c r="K107" s="2" t="s">
        <v>7275</v>
      </c>
      <c r="L107" s="3" t="s">
        <v>8070</v>
      </c>
      <c r="M107" s="1" t="s">
        <v>12190</v>
      </c>
      <c r="P107" s="7" t="s">
        <v>1241</v>
      </c>
      <c r="Q107"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07" s="1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107"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107" s="14"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107" s="1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107" s="1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W107"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X107"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Y107"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107"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107" s="1" t="s">
        <v>1502</v>
      </c>
      <c r="BG107" s="7" t="s">
        <v>1503</v>
      </c>
      <c r="BH107" s="1" t="s">
        <v>2254</v>
      </c>
      <c r="BI107" s="1" t="s">
        <v>2284</v>
      </c>
      <c r="BJ107" s="1" t="s">
        <v>1947</v>
      </c>
      <c r="BK107" s="2" t="s">
        <v>7276</v>
      </c>
      <c r="BL107" s="1" t="s">
        <v>1504</v>
      </c>
      <c r="BM107" s="2" t="s">
        <v>2297</v>
      </c>
      <c r="BN107" s="1" t="s">
        <v>2044</v>
      </c>
      <c r="BO107" s="2" t="s">
        <v>2298</v>
      </c>
    </row>
    <row r="108" spans="1:69" ht="162" x14ac:dyDescent="0.45">
      <c r="A108" s="5">
        <v>107</v>
      </c>
      <c r="B108" s="8" t="s">
        <v>1309</v>
      </c>
      <c r="C108" s="6" t="s">
        <v>1816</v>
      </c>
      <c r="D108" s="7" t="s">
        <v>9794</v>
      </c>
      <c r="E108" s="1" t="s">
        <v>4649</v>
      </c>
      <c r="F108" s="1"/>
      <c r="G108" s="1"/>
      <c r="J108" s="1" t="s">
        <v>9795</v>
      </c>
      <c r="K108" s="2" t="s">
        <v>7277</v>
      </c>
      <c r="L108" s="3" t="s">
        <v>8071</v>
      </c>
      <c r="M108" s="1" t="s">
        <v>12203</v>
      </c>
      <c r="P108" s="7" t="s">
        <v>1241</v>
      </c>
      <c r="Q108" s="14" t="str">
        <f>INDEX($L:$L, MATCH("resolve", $B:$B, 0))</f>
        <v>&lt;span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v>
      </c>
      <c r="R108" s="13" t="str">
        <f>INDEX($L:$L, MATCH("absolute", $B:$B, 0))</f>
        <v>&lt;span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v>
      </c>
      <c r="AU108" s="15"/>
      <c r="AV108" s="1" t="s">
        <v>1502</v>
      </c>
      <c r="BG108" s="7" t="s">
        <v>1503</v>
      </c>
      <c r="BH108" s="1" t="s">
        <v>1947</v>
      </c>
      <c r="BI108" s="2" t="s">
        <v>2299</v>
      </c>
      <c r="BJ108" s="1" t="s">
        <v>2044</v>
      </c>
      <c r="BK108" s="2" t="s">
        <v>2300</v>
      </c>
      <c r="BL108" s="1" t="s">
        <v>1877</v>
      </c>
      <c r="BM108" s="2" t="s">
        <v>2301</v>
      </c>
    </row>
    <row r="109" spans="1:69" ht="234" x14ac:dyDescent="0.45">
      <c r="A109" s="5">
        <v>108</v>
      </c>
      <c r="B109" s="8" t="s">
        <v>1310</v>
      </c>
      <c r="C109" s="6" t="s">
        <v>1816</v>
      </c>
      <c r="D109" s="7" t="s">
        <v>9794</v>
      </c>
      <c r="E109" s="1" t="s">
        <v>1665</v>
      </c>
      <c r="F109" s="1" t="s">
        <v>8920</v>
      </c>
      <c r="G109" s="1"/>
      <c r="J109" s="1" t="s">
        <v>9795</v>
      </c>
      <c r="K109" s="2" t="s">
        <v>7278</v>
      </c>
      <c r="L109" s="3" t="s">
        <v>8072</v>
      </c>
      <c r="M109" s="1" t="s">
        <v>12204</v>
      </c>
      <c r="P109" s="7" t="s">
        <v>1241</v>
      </c>
      <c r="Q109" s="14"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R109" s="13"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S109" s="13"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AU109" s="15"/>
      <c r="AV109" s="1" t="s">
        <v>1502</v>
      </c>
      <c r="BG109" s="7" t="s">
        <v>1503</v>
      </c>
      <c r="BH109" s="1" t="s">
        <v>1947</v>
      </c>
      <c r="BI109" s="2" t="s">
        <v>2302</v>
      </c>
      <c r="BJ109" s="1" t="s">
        <v>1504</v>
      </c>
      <c r="BK109" s="2" t="s">
        <v>2303</v>
      </c>
      <c r="BL109" s="1" t="s">
        <v>1877</v>
      </c>
      <c r="BM109" s="2" t="s">
        <v>2304</v>
      </c>
    </row>
    <row r="110" spans="1:69" ht="144" x14ac:dyDescent="0.45">
      <c r="A110" s="5">
        <v>109</v>
      </c>
      <c r="B110" s="8" t="s">
        <v>1311</v>
      </c>
      <c r="C110" s="6" t="s">
        <v>1816</v>
      </c>
      <c r="D110" s="7" t="s">
        <v>9794</v>
      </c>
      <c r="E110" s="1" t="s">
        <v>8921</v>
      </c>
      <c r="F110" s="1"/>
      <c r="G110" s="1"/>
      <c r="J110" s="1" t="s">
        <v>9795</v>
      </c>
      <c r="K110" s="2" t="s">
        <v>7279</v>
      </c>
      <c r="L110" s="9" t="s">
        <v>8073</v>
      </c>
      <c r="P110" s="7" t="s">
        <v>1241</v>
      </c>
      <c r="AV110" s="1" t="s">
        <v>1502</v>
      </c>
      <c r="BG110" s="7" t="s">
        <v>1503</v>
      </c>
      <c r="BH110" s="1" t="s">
        <v>1976</v>
      </c>
      <c r="BI110" s="1" t="s">
        <v>7280</v>
      </c>
      <c r="BJ110" s="1" t="s">
        <v>1947</v>
      </c>
      <c r="BK110" s="2" t="s">
        <v>2305</v>
      </c>
      <c r="BL110" s="1" t="s">
        <v>1980</v>
      </c>
      <c r="BM110" s="1" t="s">
        <v>2306</v>
      </c>
      <c r="BN110" s="1" t="s">
        <v>1504</v>
      </c>
      <c r="BO110" s="2" t="s">
        <v>2307</v>
      </c>
      <c r="BP110" s="1" t="s">
        <v>2044</v>
      </c>
      <c r="BQ110" s="2" t="s">
        <v>2308</v>
      </c>
    </row>
    <row r="111" spans="1:69" ht="144" x14ac:dyDescent="0.45">
      <c r="A111" s="5">
        <v>110</v>
      </c>
      <c r="B111" s="8" t="s">
        <v>1312</v>
      </c>
      <c r="C111" s="6" t="s">
        <v>1816</v>
      </c>
      <c r="D111" s="7" t="s">
        <v>9794</v>
      </c>
      <c r="E111" s="1" t="s">
        <v>8922</v>
      </c>
      <c r="F111" s="1"/>
      <c r="G111" s="1"/>
      <c r="J111" s="1" t="s">
        <v>9795</v>
      </c>
      <c r="K111" s="2" t="s">
        <v>7281</v>
      </c>
      <c r="L111" s="9" t="s">
        <v>12148</v>
      </c>
      <c r="P111" s="7" t="s">
        <v>1241</v>
      </c>
      <c r="Q111" s="15"/>
      <c r="AU111" s="15"/>
      <c r="AV111" s="1" t="s">
        <v>1502</v>
      </c>
      <c r="BG111" s="7" t="s">
        <v>1503</v>
      </c>
      <c r="BH111" s="1" t="s">
        <v>1947</v>
      </c>
      <c r="BI111" s="2" t="s">
        <v>2309</v>
      </c>
      <c r="BJ111" s="1" t="s">
        <v>1504</v>
      </c>
      <c r="BK111" s="2" t="s">
        <v>2310</v>
      </c>
      <c r="BL111" s="1" t="s">
        <v>2044</v>
      </c>
      <c r="BM111" s="2" t="s">
        <v>2311</v>
      </c>
      <c r="BN111" s="1" t="s">
        <v>1865</v>
      </c>
      <c r="BO111" s="2" t="s">
        <v>2312</v>
      </c>
    </row>
    <row r="112" spans="1:69" ht="198" x14ac:dyDescent="0.45">
      <c r="A112" s="5">
        <v>111</v>
      </c>
      <c r="B112" s="8" t="s">
        <v>1558</v>
      </c>
      <c r="C112" s="6" t="s">
        <v>1816</v>
      </c>
      <c r="D112" s="7" t="s">
        <v>9794</v>
      </c>
      <c r="E112" s="1" t="s">
        <v>1413</v>
      </c>
      <c r="F112" s="1" t="s">
        <v>1751</v>
      </c>
      <c r="G112" s="1"/>
      <c r="J112" s="1" t="s">
        <v>9795</v>
      </c>
      <c r="K112" s="2" t="s">
        <v>7282</v>
      </c>
      <c r="L112" s="4" t="s">
        <v>8074</v>
      </c>
      <c r="M112" s="1" t="s">
        <v>12205</v>
      </c>
      <c r="P112" s="7" t="s">
        <v>1241</v>
      </c>
      <c r="Q112" s="14"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R112" s="14"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S112" s="14"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T112" s="15"/>
      <c r="U112" s="15"/>
      <c r="V112" s="15"/>
      <c r="AU112" s="15"/>
      <c r="AV112" s="1" t="s">
        <v>1502</v>
      </c>
      <c r="BG112" s="7" t="s">
        <v>1503</v>
      </c>
      <c r="BH112" s="1" t="s">
        <v>1947</v>
      </c>
      <c r="BI112" s="2" t="s">
        <v>2313</v>
      </c>
      <c r="BJ112" s="1" t="s">
        <v>1980</v>
      </c>
      <c r="BK112" s="2" t="s">
        <v>2314</v>
      </c>
      <c r="BL112" s="1" t="s">
        <v>1504</v>
      </c>
      <c r="BM112" s="2" t="s">
        <v>2315</v>
      </c>
      <c r="BN112" s="1" t="s">
        <v>2044</v>
      </c>
      <c r="BO112" s="2" t="s">
        <v>2316</v>
      </c>
    </row>
    <row r="113" spans="1:71" ht="108" x14ac:dyDescent="0.45">
      <c r="A113" s="5">
        <v>112</v>
      </c>
      <c r="B113" s="8" t="s">
        <v>1129</v>
      </c>
      <c r="C113" s="6" t="s">
        <v>1816</v>
      </c>
      <c r="D113" s="7" t="s">
        <v>9794</v>
      </c>
      <c r="E113" s="1" t="s">
        <v>1129</v>
      </c>
      <c r="F113" s="1"/>
      <c r="G113" s="1"/>
      <c r="J113" s="1" t="s">
        <v>9795</v>
      </c>
      <c r="K113" s="2" t="s">
        <v>7283</v>
      </c>
      <c r="L113" s="9" t="s">
        <v>8075</v>
      </c>
      <c r="P113" s="7" t="s">
        <v>1241</v>
      </c>
      <c r="Q113" s="13" t="str">
        <f>INDEX($L:$L, MATCH("withdraw", $B:$B, 0))</f>
        <v>&lt;span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v>
      </c>
      <c r="R113" s="13" t="str">
        <f>INDEX($L:$L, MATCH("drag", $B:$B, 0))</f>
        <v>&lt;span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v>
      </c>
      <c r="AV113" s="1" t="s">
        <v>1502</v>
      </c>
      <c r="BG113" s="7" t="s">
        <v>1503</v>
      </c>
      <c r="BH113" s="1" t="s">
        <v>1872</v>
      </c>
      <c r="BI113" s="1" t="s">
        <v>2317</v>
      </c>
      <c r="BJ113" s="1" t="s">
        <v>2044</v>
      </c>
      <c r="BK113" s="2" t="s">
        <v>2318</v>
      </c>
      <c r="BL113" s="1" t="s">
        <v>1865</v>
      </c>
      <c r="BM113" s="2" t="s">
        <v>2319</v>
      </c>
    </row>
    <row r="114" spans="1:71" ht="126" x14ac:dyDescent="0.45">
      <c r="A114" s="5">
        <v>113</v>
      </c>
      <c r="B114" s="8" t="s">
        <v>100</v>
      </c>
      <c r="C114" s="6" t="s">
        <v>1816</v>
      </c>
      <c r="D114" s="7" t="s">
        <v>9794</v>
      </c>
      <c r="E114" s="1" t="s">
        <v>100</v>
      </c>
      <c r="F114" s="1"/>
      <c r="G114" s="1"/>
      <c r="J114" s="1" t="s">
        <v>9795</v>
      </c>
      <c r="K114" s="2" t="s">
        <v>7284</v>
      </c>
      <c r="L114" s="4" t="s">
        <v>8076</v>
      </c>
      <c r="P114" s="7" t="s">
        <v>1241</v>
      </c>
      <c r="Q114" s="23" t="str">
        <f>INDEX($L:$L, MATCH("vast", $B:$B, 0))</f>
        <v>&lt;span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v>
      </c>
      <c r="R114" s="15"/>
      <c r="S114" s="15"/>
      <c r="T114" s="15"/>
      <c r="U114" s="15"/>
      <c r="V114" s="15"/>
      <c r="W114" s="15"/>
      <c r="X114" s="15"/>
      <c r="AU114" s="15"/>
      <c r="AV114" s="1" t="s">
        <v>1502</v>
      </c>
      <c r="BG114" s="7" t="s">
        <v>1503</v>
      </c>
      <c r="BH114" s="1" t="s">
        <v>1947</v>
      </c>
      <c r="BI114" s="2" t="s">
        <v>7285</v>
      </c>
      <c r="BJ114" s="1" t="s">
        <v>1959</v>
      </c>
      <c r="BK114" s="1" t="s">
        <v>2320</v>
      </c>
      <c r="BL114" s="1" t="s">
        <v>2321</v>
      </c>
      <c r="BM114" s="1" t="s">
        <v>2322</v>
      </c>
      <c r="BN114" s="1" t="s">
        <v>2044</v>
      </c>
      <c r="BO114" s="2" t="s">
        <v>2323</v>
      </c>
    </row>
    <row r="115" spans="1:71" ht="216" x14ac:dyDescent="0.45">
      <c r="A115" s="5">
        <v>114</v>
      </c>
      <c r="B115" s="8" t="s">
        <v>1313</v>
      </c>
      <c r="C115" s="6" t="s">
        <v>1816</v>
      </c>
      <c r="D115" s="7" t="s">
        <v>9794</v>
      </c>
      <c r="E115" s="1" t="s">
        <v>1353</v>
      </c>
      <c r="F115" s="1" t="s">
        <v>1809</v>
      </c>
      <c r="G115" s="1"/>
      <c r="J115" s="1" t="s">
        <v>9795</v>
      </c>
      <c r="K115" s="2" t="s">
        <v>7261</v>
      </c>
      <c r="L115" s="4" t="s">
        <v>8077</v>
      </c>
      <c r="M115" s="1" t="s">
        <v>12202</v>
      </c>
      <c r="P115" s="7" t="s">
        <v>1241</v>
      </c>
      <c r="Q115" s="14"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115"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S115" s="14"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T115" s="14"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AV115" s="1" t="s">
        <v>1502</v>
      </c>
      <c r="BG115" s="7" t="s">
        <v>1503</v>
      </c>
      <c r="BH115" s="1" t="s">
        <v>1947</v>
      </c>
      <c r="BI115" s="1" t="s">
        <v>2273</v>
      </c>
      <c r="BJ115" s="1" t="s">
        <v>2324</v>
      </c>
      <c r="BK115" s="2" t="s">
        <v>2325</v>
      </c>
      <c r="BL115" s="1" t="s">
        <v>2048</v>
      </c>
      <c r="BM115" s="1" t="s">
        <v>2326</v>
      </c>
      <c r="BN115" s="1" t="s">
        <v>1504</v>
      </c>
      <c r="BO115" s="2" t="s">
        <v>2327</v>
      </c>
      <c r="BP115" s="1" t="s">
        <v>2044</v>
      </c>
      <c r="BQ115" s="2" t="s">
        <v>2328</v>
      </c>
      <c r="BR115" s="1" t="s">
        <v>1865</v>
      </c>
      <c r="BS115" s="2" t="s">
        <v>2329</v>
      </c>
    </row>
    <row r="116" spans="1:71" ht="162" x14ac:dyDescent="0.45">
      <c r="A116" s="5">
        <v>115</v>
      </c>
      <c r="B116" s="8" t="s">
        <v>101</v>
      </c>
      <c r="C116" s="6" t="s">
        <v>1816</v>
      </c>
      <c r="D116" s="7" t="s">
        <v>9794</v>
      </c>
      <c r="E116" s="1" t="s">
        <v>101</v>
      </c>
      <c r="F116" s="1"/>
      <c r="G116" s="1"/>
      <c r="J116" s="1" t="s">
        <v>9795</v>
      </c>
      <c r="K116" s="2" t="s">
        <v>7286</v>
      </c>
      <c r="L116" s="9" t="s">
        <v>8078</v>
      </c>
      <c r="P116" s="7" t="s">
        <v>1241</v>
      </c>
      <c r="Q116" s="14" t="str">
        <f>INDEX($L:$L, MATCH("widespread", $B:$B, 0))</f>
        <v>&lt;span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v>
      </c>
      <c r="AV116" s="1" t="s">
        <v>1502</v>
      </c>
      <c r="BG116" s="7" t="s">
        <v>1503</v>
      </c>
      <c r="BH116" s="1" t="s">
        <v>2254</v>
      </c>
      <c r="BI116" s="1" t="s">
        <v>2330</v>
      </c>
      <c r="BJ116" s="1" t="s">
        <v>2129</v>
      </c>
      <c r="BK116" s="1" t="s">
        <v>2331</v>
      </c>
      <c r="BL116" s="1" t="s">
        <v>2044</v>
      </c>
      <c r="BM116" s="2" t="s">
        <v>2332</v>
      </c>
    </row>
    <row r="117" spans="1:71" ht="409.6" x14ac:dyDescent="0.45">
      <c r="A117" s="5">
        <v>116</v>
      </c>
      <c r="B117" s="8" t="s">
        <v>1314</v>
      </c>
      <c r="C117" s="6" t="s">
        <v>1816</v>
      </c>
      <c r="D117" s="7" t="s">
        <v>9794</v>
      </c>
      <c r="E117" s="1" t="s">
        <v>1338</v>
      </c>
      <c r="F117" s="1" t="s">
        <v>8894</v>
      </c>
      <c r="G117" s="1"/>
      <c r="J117" s="1" t="s">
        <v>9795</v>
      </c>
      <c r="K117" s="2" t="s">
        <v>7287</v>
      </c>
      <c r="L117" s="4" t="s">
        <v>8079</v>
      </c>
      <c r="P117" s="7" t="s">
        <v>1241</v>
      </c>
      <c r="Q117" s="14"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R117" s="14"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S117" s="15"/>
      <c r="AU117" s="15"/>
      <c r="AV117" s="1" t="s">
        <v>1502</v>
      </c>
      <c r="BG117" s="7" t="s">
        <v>1503</v>
      </c>
      <c r="BH117" s="1" t="s">
        <v>1947</v>
      </c>
      <c r="BI117" s="2" t="s">
        <v>2333</v>
      </c>
      <c r="BJ117" s="1" t="s">
        <v>1504</v>
      </c>
      <c r="BK117" s="1" t="s">
        <v>2334</v>
      </c>
      <c r="BL117" s="1" t="s">
        <v>2044</v>
      </c>
      <c r="BM117" s="2" t="s">
        <v>2335</v>
      </c>
    </row>
    <row r="118" spans="1:71" ht="198" x14ac:dyDescent="0.45">
      <c r="A118" s="5">
        <v>117</v>
      </c>
      <c r="B118" s="8" t="s">
        <v>1315</v>
      </c>
      <c r="C118" s="6" t="s">
        <v>1816</v>
      </c>
      <c r="D118" s="7" t="s">
        <v>9794</v>
      </c>
      <c r="E118" s="1" t="s">
        <v>8923</v>
      </c>
      <c r="F118" s="1"/>
      <c r="G118" s="1"/>
      <c r="J118" s="1" t="s">
        <v>9795</v>
      </c>
      <c r="K118" s="2" t="s">
        <v>7288</v>
      </c>
      <c r="L118" s="9" t="s">
        <v>8080</v>
      </c>
      <c r="P118" s="7" t="s">
        <v>1241</v>
      </c>
      <c r="AV118" s="1" t="s">
        <v>1502</v>
      </c>
      <c r="BG118" s="7" t="s">
        <v>1503</v>
      </c>
      <c r="BH118" s="1" t="s">
        <v>2268</v>
      </c>
      <c r="BI118" s="1" t="s">
        <v>2336</v>
      </c>
      <c r="BJ118" s="1" t="s">
        <v>1504</v>
      </c>
      <c r="BK118" s="1" t="s">
        <v>2337</v>
      </c>
      <c r="BL118" s="1" t="s">
        <v>1865</v>
      </c>
      <c r="BM118" s="2" t="s">
        <v>7289</v>
      </c>
    </row>
    <row r="119" spans="1:71" ht="180" x14ac:dyDescent="0.45">
      <c r="A119" s="5">
        <v>118</v>
      </c>
      <c r="B119" s="8" t="s">
        <v>1316</v>
      </c>
      <c r="C119" s="6" t="s">
        <v>1816</v>
      </c>
      <c r="D119" s="7" t="s">
        <v>9794</v>
      </c>
      <c r="E119" s="1" t="s">
        <v>1621</v>
      </c>
      <c r="F119" s="1" t="s">
        <v>8924</v>
      </c>
      <c r="G119" s="1" t="s">
        <v>8925</v>
      </c>
      <c r="J119" s="1" t="s">
        <v>9795</v>
      </c>
      <c r="K119" s="2" t="s">
        <v>7290</v>
      </c>
      <c r="L119" s="4" t="s">
        <v>12149</v>
      </c>
      <c r="M119" s="1" t="s">
        <v>12206</v>
      </c>
      <c r="P119" s="7" t="s">
        <v>1241</v>
      </c>
      <c r="Q119" s="14"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119" s="13"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119" s="13"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119" s="13"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119" s="13"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V119" s="13"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W119" s="13" t="str">
        <f>INDEX($L:$L, MATCH("capital", $B:$B, 0))</f>
        <v>&lt;span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v>
      </c>
      <c r="X119" s="13" t="str">
        <f>INDEX($L:$L, MATCH("cattle", $B:$B, 0))</f>
        <v>&lt;span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v>
      </c>
      <c r="AU119" s="15"/>
      <c r="AV119" s="1" t="s">
        <v>1502</v>
      </c>
      <c r="BG119" s="7" t="s">
        <v>1503</v>
      </c>
      <c r="BH119" s="1" t="s">
        <v>1947</v>
      </c>
      <c r="BI119" s="2" t="s">
        <v>2338</v>
      </c>
      <c r="BJ119" s="1" t="s">
        <v>2324</v>
      </c>
      <c r="BK119" s="2" t="s">
        <v>2339</v>
      </c>
      <c r="BL119" s="1" t="s">
        <v>2048</v>
      </c>
      <c r="BM119" s="1" t="s">
        <v>2340</v>
      </c>
      <c r="BN119" s="1" t="s">
        <v>1504</v>
      </c>
      <c r="BO119" s="2" t="s">
        <v>2341</v>
      </c>
      <c r="BP119" s="1" t="s">
        <v>2044</v>
      </c>
      <c r="BQ119" s="2" t="s">
        <v>2342</v>
      </c>
    </row>
    <row r="120" spans="1:71" ht="108" x14ac:dyDescent="0.45">
      <c r="A120" s="5">
        <v>119</v>
      </c>
      <c r="B120" s="8" t="s">
        <v>1317</v>
      </c>
      <c r="C120" s="6" t="s">
        <v>1816</v>
      </c>
      <c r="D120" s="7" t="s">
        <v>9794</v>
      </c>
      <c r="E120" s="1" t="s">
        <v>1454</v>
      </c>
      <c r="F120" s="1" t="s">
        <v>8926</v>
      </c>
      <c r="G120" s="1" t="s">
        <v>1520</v>
      </c>
      <c r="J120" s="1" t="s">
        <v>9795</v>
      </c>
      <c r="K120" s="2" t="s">
        <v>7291</v>
      </c>
      <c r="L120" s="9" t="s">
        <v>8081</v>
      </c>
      <c r="P120" s="7" t="s">
        <v>1241</v>
      </c>
      <c r="Q120"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120"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20"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120"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U120"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120"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120"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120"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120"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120"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120"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120"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120"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120"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120"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120" s="1" t="s">
        <v>1502</v>
      </c>
      <c r="BG120" s="7" t="s">
        <v>1503</v>
      </c>
      <c r="BH120" s="1" t="s">
        <v>1976</v>
      </c>
      <c r="BI120" s="1" t="s">
        <v>2263</v>
      </c>
      <c r="BJ120" s="1" t="s">
        <v>1947</v>
      </c>
      <c r="BK120" s="2" t="s">
        <v>7292</v>
      </c>
      <c r="BL120" s="1" t="s">
        <v>1504</v>
      </c>
      <c r="BM120" s="2" t="s">
        <v>2343</v>
      </c>
      <c r="BN120" s="1" t="s">
        <v>2044</v>
      </c>
      <c r="BO120" s="2" t="s">
        <v>2344</v>
      </c>
    </row>
    <row r="121" spans="1:71" ht="252" x14ac:dyDescent="0.45">
      <c r="A121" s="5">
        <v>120</v>
      </c>
      <c r="B121" s="8" t="s">
        <v>1318</v>
      </c>
      <c r="C121" s="6" t="s">
        <v>1816</v>
      </c>
      <c r="D121" s="7" t="s">
        <v>9794</v>
      </c>
      <c r="E121" s="1" t="s">
        <v>5886</v>
      </c>
      <c r="F121" s="1" t="s">
        <v>1330</v>
      </c>
      <c r="G121" s="1"/>
      <c r="J121" s="1" t="s">
        <v>9795</v>
      </c>
      <c r="K121" s="2" t="s">
        <v>7293</v>
      </c>
      <c r="L121" s="3" t="s">
        <v>8082</v>
      </c>
      <c r="M121" s="1" t="s">
        <v>12184</v>
      </c>
      <c r="P121" s="7" t="s">
        <v>1241</v>
      </c>
      <c r="Q121" s="14"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R121" s="14"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S121" s="14"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T121" s="13"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121" s="13"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U121" s="15"/>
      <c r="AV121" s="1" t="s">
        <v>1502</v>
      </c>
      <c r="BG121" s="7" t="s">
        <v>1503</v>
      </c>
      <c r="BH121" s="1" t="s">
        <v>1947</v>
      </c>
      <c r="BI121" s="2" t="s">
        <v>7294</v>
      </c>
      <c r="BJ121" s="1" t="s">
        <v>1504</v>
      </c>
      <c r="BK121" s="2" t="s">
        <v>2345</v>
      </c>
      <c r="BL121" s="1" t="s">
        <v>2044</v>
      </c>
      <c r="BM121" s="2" t="s">
        <v>2346</v>
      </c>
      <c r="BN121" s="1" t="s">
        <v>1865</v>
      </c>
      <c r="BO121" s="2" t="s">
        <v>2347</v>
      </c>
    </row>
    <row r="122" spans="1:71" ht="409.6" x14ac:dyDescent="0.45">
      <c r="A122" s="5">
        <v>121</v>
      </c>
      <c r="B122" s="8" t="s">
        <v>1319</v>
      </c>
      <c r="C122" s="6" t="s">
        <v>1816</v>
      </c>
      <c r="D122" s="7" t="s">
        <v>9794</v>
      </c>
      <c r="E122" s="1" t="s">
        <v>5886</v>
      </c>
      <c r="F122" s="1" t="s">
        <v>4640</v>
      </c>
      <c r="G122" s="1"/>
      <c r="J122" s="1" t="s">
        <v>9795</v>
      </c>
      <c r="K122" s="2" t="s">
        <v>7295</v>
      </c>
      <c r="L122" s="3" t="s">
        <v>8083</v>
      </c>
      <c r="M122" s="1" t="s">
        <v>12207</v>
      </c>
      <c r="P122" s="7" t="s">
        <v>1241</v>
      </c>
      <c r="Q122" s="1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22" s="14"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22" s="1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22" s="14"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22" s="14"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22" s="1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22" s="1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22" s="1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122" s="14"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122" s="1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122" s="1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122" s="1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22" s="14"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22" s="1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22" s="1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F122" s="15"/>
      <c r="AG122" s="15"/>
      <c r="AU122" s="15"/>
      <c r="AV122" s="1" t="s">
        <v>1502</v>
      </c>
      <c r="BG122" s="7" t="s">
        <v>1503</v>
      </c>
      <c r="BH122" s="1" t="s">
        <v>1947</v>
      </c>
      <c r="BI122" s="2" t="s">
        <v>7296</v>
      </c>
      <c r="BJ122" s="1" t="s">
        <v>1504</v>
      </c>
      <c r="BK122" s="2" t="s">
        <v>2348</v>
      </c>
      <c r="BL122" s="1" t="s">
        <v>2044</v>
      </c>
      <c r="BM122" s="2" t="s">
        <v>2349</v>
      </c>
      <c r="BN122" s="1" t="s">
        <v>1865</v>
      </c>
      <c r="BO122" s="2" t="s">
        <v>2350</v>
      </c>
    </row>
    <row r="123" spans="1:71" ht="144" x14ac:dyDescent="0.45">
      <c r="A123" s="5">
        <v>122</v>
      </c>
      <c r="B123" s="8" t="s">
        <v>102</v>
      </c>
      <c r="C123" s="6" t="s">
        <v>1816</v>
      </c>
      <c r="D123" s="7" t="s">
        <v>9794</v>
      </c>
      <c r="E123" s="1" t="s">
        <v>1325</v>
      </c>
      <c r="F123" s="1" t="s">
        <v>1326</v>
      </c>
      <c r="G123" s="1"/>
      <c r="J123" s="1" t="s">
        <v>9795</v>
      </c>
      <c r="K123" s="2" t="s">
        <v>7297</v>
      </c>
      <c r="L123" s="9" t="s">
        <v>8084</v>
      </c>
      <c r="P123" s="7" t="s">
        <v>1241</v>
      </c>
      <c r="AU123" s="15"/>
      <c r="AV123" s="1" t="s">
        <v>1502</v>
      </c>
      <c r="BG123" s="7" t="s">
        <v>1503</v>
      </c>
      <c r="BH123" s="1" t="s">
        <v>1504</v>
      </c>
      <c r="BI123" s="2" t="s">
        <v>2351</v>
      </c>
      <c r="BJ123" s="1" t="s">
        <v>1869</v>
      </c>
      <c r="BK123" s="1" t="s">
        <v>2352</v>
      </c>
      <c r="BL123" s="1" t="s">
        <v>2044</v>
      </c>
      <c r="BM123" s="2" t="s">
        <v>2353</v>
      </c>
      <c r="BN123" s="1" t="s">
        <v>1865</v>
      </c>
      <c r="BO123" s="2" t="s">
        <v>2354</v>
      </c>
    </row>
    <row r="124" spans="1:71" ht="306" x14ac:dyDescent="0.45">
      <c r="A124" s="5">
        <v>123</v>
      </c>
      <c r="B124" s="8" t="s">
        <v>1559</v>
      </c>
      <c r="C124" s="6" t="s">
        <v>1816</v>
      </c>
      <c r="D124" s="7" t="s">
        <v>9794</v>
      </c>
      <c r="E124" s="1" t="s">
        <v>1338</v>
      </c>
      <c r="F124" s="1" t="s">
        <v>1250</v>
      </c>
      <c r="G124" s="1"/>
      <c r="J124" s="1" t="s">
        <v>9795</v>
      </c>
      <c r="K124" s="2" t="s">
        <v>10446</v>
      </c>
      <c r="L124" s="3" t="s">
        <v>12159</v>
      </c>
      <c r="M124" s="1" t="s">
        <v>12169</v>
      </c>
      <c r="P124" s="7" t="s">
        <v>1241</v>
      </c>
      <c r="Q124" s="1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24" s="1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124" s="1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T124" s="1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U124" s="1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V124" s="1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124" s="1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124"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124" s="15"/>
      <c r="AV124" s="1" t="s">
        <v>1502</v>
      </c>
      <c r="BG124" s="7" t="s">
        <v>1503</v>
      </c>
      <c r="BH124" s="1" t="s">
        <v>1947</v>
      </c>
      <c r="BI124" s="2" t="s">
        <v>2355</v>
      </c>
      <c r="BJ124" s="1" t="s">
        <v>1504</v>
      </c>
      <c r="BK124" s="2" t="s">
        <v>2356</v>
      </c>
      <c r="BL124" s="1" t="s">
        <v>2044</v>
      </c>
      <c r="BM124" s="2" t="s">
        <v>2357</v>
      </c>
      <c r="BO124" s="2"/>
    </row>
    <row r="125" spans="1:71" ht="180" x14ac:dyDescent="0.45">
      <c r="A125" s="5">
        <v>124</v>
      </c>
      <c r="B125" s="8" t="s">
        <v>1521</v>
      </c>
      <c r="C125" s="6" t="s">
        <v>1816</v>
      </c>
      <c r="D125" s="7" t="s">
        <v>9794</v>
      </c>
      <c r="E125" s="1" t="s">
        <v>1327</v>
      </c>
      <c r="F125" s="1" t="s">
        <v>1328</v>
      </c>
      <c r="G125" s="1"/>
      <c r="J125" s="1" t="s">
        <v>9795</v>
      </c>
      <c r="K125" s="2" t="s">
        <v>7298</v>
      </c>
      <c r="L125" s="3" t="s">
        <v>8085</v>
      </c>
      <c r="M125" s="1" t="s">
        <v>12193</v>
      </c>
      <c r="P125" s="7" t="s">
        <v>1241</v>
      </c>
      <c r="Q125" s="13" t="str">
        <f>INDEX($L:$L, MATCH("term", $B:$B, 0))</f>
        <v>&lt;span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v>
      </c>
      <c r="AU125" s="15"/>
      <c r="AV125" s="1" t="s">
        <v>1502</v>
      </c>
      <c r="BG125" s="7" t="s">
        <v>1503</v>
      </c>
      <c r="BH125" s="1" t="s">
        <v>2034</v>
      </c>
      <c r="BI125" s="2" t="s">
        <v>7299</v>
      </c>
      <c r="BJ125" s="1" t="s">
        <v>1504</v>
      </c>
      <c r="BK125" s="2" t="s">
        <v>2358</v>
      </c>
      <c r="BL125" s="1" t="s">
        <v>2044</v>
      </c>
      <c r="BM125" s="2" t="s">
        <v>2359</v>
      </c>
      <c r="BN125" s="1" t="s">
        <v>1865</v>
      </c>
      <c r="BO125" s="2" t="s">
        <v>2360</v>
      </c>
    </row>
    <row r="126" spans="1:71" ht="162" x14ac:dyDescent="0.45">
      <c r="A126" s="5">
        <v>125</v>
      </c>
      <c r="B126" s="8" t="s">
        <v>103</v>
      </c>
      <c r="C126" s="6" t="s">
        <v>1816</v>
      </c>
      <c r="D126" s="7" t="s">
        <v>9794</v>
      </c>
      <c r="E126" s="1" t="s">
        <v>103</v>
      </c>
      <c r="F126" s="1"/>
      <c r="G126" s="1"/>
      <c r="J126" s="1" t="s">
        <v>9795</v>
      </c>
      <c r="K126" s="2" t="s">
        <v>7300</v>
      </c>
      <c r="L126" s="9" t="s">
        <v>8086</v>
      </c>
      <c r="M126" s="1" t="s">
        <v>12208</v>
      </c>
      <c r="P126" s="7" t="s">
        <v>1241</v>
      </c>
      <c r="Q126" s="1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R126" s="13"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S126" s="13"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T126"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U126" s="13"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126" s="13"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U126" s="15"/>
      <c r="AV126" s="1" t="s">
        <v>1502</v>
      </c>
      <c r="BG126" s="7" t="s">
        <v>1503</v>
      </c>
      <c r="BH126" s="1" t="s">
        <v>2034</v>
      </c>
      <c r="BI126" s="2" t="s">
        <v>7301</v>
      </c>
      <c r="BJ126" s="1" t="s">
        <v>1504</v>
      </c>
      <c r="BK126" s="2" t="s">
        <v>2361</v>
      </c>
      <c r="BL126" s="1" t="s">
        <v>2044</v>
      </c>
      <c r="BM126" s="2" t="s">
        <v>2362</v>
      </c>
    </row>
    <row r="127" spans="1:71" ht="216" x14ac:dyDescent="0.45">
      <c r="A127" s="5">
        <v>126</v>
      </c>
      <c r="B127" s="8" t="s">
        <v>104</v>
      </c>
      <c r="C127" s="6" t="s">
        <v>1816</v>
      </c>
      <c r="D127" s="7" t="s">
        <v>9794</v>
      </c>
      <c r="E127" s="1" t="s">
        <v>104</v>
      </c>
      <c r="F127" s="1"/>
      <c r="G127" s="1"/>
      <c r="J127" s="1" t="s">
        <v>9795</v>
      </c>
      <c r="K127" s="2" t="s">
        <v>7302</v>
      </c>
      <c r="L127" s="9" t="s">
        <v>8087</v>
      </c>
      <c r="P127" s="7" t="s">
        <v>1241</v>
      </c>
      <c r="Q127" s="14" t="str">
        <f>INDEX($L:$L, MATCH("approve", $B:$B, 0))</f>
        <v>&lt;span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v>
      </c>
      <c r="R127" s="13" t="str">
        <f>INDEX($L:$L, MATCH("probable", $B:$B, 0))</f>
        <v>&lt;span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v>
      </c>
      <c r="AU127" s="15"/>
      <c r="AV127" s="1" t="s">
        <v>1502</v>
      </c>
      <c r="BG127" s="7" t="s">
        <v>1503</v>
      </c>
      <c r="BH127" s="1" t="s">
        <v>2034</v>
      </c>
      <c r="BI127" s="2" t="s">
        <v>7303</v>
      </c>
      <c r="BJ127" s="1" t="s">
        <v>1504</v>
      </c>
      <c r="BK127" s="2" t="s">
        <v>2363</v>
      </c>
      <c r="BL127" s="1" t="s">
        <v>2044</v>
      </c>
      <c r="BM127" s="2" t="s">
        <v>2364</v>
      </c>
    </row>
    <row r="128" spans="1:71" ht="324" x14ac:dyDescent="0.45">
      <c r="A128" s="5">
        <v>127</v>
      </c>
      <c r="B128" s="8" t="s">
        <v>1560</v>
      </c>
      <c r="C128" s="6" t="s">
        <v>1816</v>
      </c>
      <c r="D128" s="7" t="s">
        <v>9794</v>
      </c>
      <c r="E128" s="1" t="s">
        <v>1329</v>
      </c>
      <c r="F128" s="1" t="s">
        <v>1330</v>
      </c>
      <c r="G128" s="1"/>
      <c r="J128" s="1" t="s">
        <v>9795</v>
      </c>
      <c r="K128" s="2" t="s">
        <v>7304</v>
      </c>
      <c r="L128" s="3" t="s">
        <v>8088</v>
      </c>
      <c r="M128" s="1" t="s">
        <v>12209</v>
      </c>
      <c r="P128" s="7" t="s">
        <v>1241</v>
      </c>
      <c r="Q128" s="1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R128" s="1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S128"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T128" s="1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U128"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128" s="14"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128" s="14"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X128" s="15"/>
      <c r="Y128" s="15"/>
      <c r="AU128" s="15"/>
      <c r="AV128" s="1" t="s">
        <v>1502</v>
      </c>
      <c r="BG128" s="7" t="s">
        <v>1503</v>
      </c>
      <c r="BH128" s="1" t="s">
        <v>2034</v>
      </c>
      <c r="BI128" s="2" t="s">
        <v>2365</v>
      </c>
      <c r="BJ128" s="1" t="s">
        <v>1504</v>
      </c>
      <c r="BK128" s="2" t="s">
        <v>2366</v>
      </c>
      <c r="BL128" s="1" t="s">
        <v>2044</v>
      </c>
      <c r="BM128" s="2" t="s">
        <v>2367</v>
      </c>
      <c r="BN128" s="1" t="s">
        <v>1865</v>
      </c>
      <c r="BO128" s="2" t="s">
        <v>2368</v>
      </c>
    </row>
    <row r="129" spans="1:71" ht="288" x14ac:dyDescent="0.45">
      <c r="A129" s="5">
        <v>128</v>
      </c>
      <c r="B129" s="8" t="s">
        <v>1331</v>
      </c>
      <c r="C129" s="6" t="s">
        <v>1816</v>
      </c>
      <c r="D129" s="7" t="s">
        <v>9794</v>
      </c>
      <c r="E129" s="1" t="s">
        <v>8927</v>
      </c>
      <c r="F129" s="1" t="s">
        <v>1580</v>
      </c>
      <c r="G129" s="1"/>
      <c r="J129" s="1" t="s">
        <v>9795</v>
      </c>
      <c r="K129" s="2" t="s">
        <v>7305</v>
      </c>
      <c r="L129" s="4" t="s">
        <v>8089</v>
      </c>
      <c r="M129" s="1" t="s">
        <v>12210</v>
      </c>
      <c r="P129" s="7" t="s">
        <v>1241</v>
      </c>
      <c r="Q129" s="14"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R129" s="14"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S129"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T129" s="14"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129"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V129"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U129" s="15"/>
      <c r="AV129" s="1" t="s">
        <v>1502</v>
      </c>
      <c r="BG129" s="7" t="s">
        <v>1503</v>
      </c>
      <c r="BH129" s="1" t="s">
        <v>2034</v>
      </c>
      <c r="BI129" s="2" t="s">
        <v>7306</v>
      </c>
      <c r="BJ129" s="1" t="s">
        <v>1504</v>
      </c>
      <c r="BK129" s="2" t="s">
        <v>2369</v>
      </c>
      <c r="BL129" s="1" t="s">
        <v>2017</v>
      </c>
      <c r="BM129" s="1" t="s">
        <v>2370</v>
      </c>
      <c r="BN129" s="1" t="s">
        <v>2044</v>
      </c>
      <c r="BO129" s="2" t="s">
        <v>2371</v>
      </c>
      <c r="BP129" s="1" t="s">
        <v>1865</v>
      </c>
      <c r="BQ129" s="2" t="s">
        <v>2372</v>
      </c>
    </row>
    <row r="130" spans="1:71" ht="198" x14ac:dyDescent="0.45">
      <c r="A130" s="5">
        <v>129</v>
      </c>
      <c r="B130" s="8" t="s">
        <v>1337</v>
      </c>
      <c r="C130" s="6" t="s">
        <v>1816</v>
      </c>
      <c r="D130" s="7" t="s">
        <v>9794</v>
      </c>
      <c r="E130" s="1" t="s">
        <v>1467</v>
      </c>
      <c r="F130" s="1" t="s">
        <v>8928</v>
      </c>
      <c r="G130" s="1"/>
      <c r="J130" s="1" t="s">
        <v>9795</v>
      </c>
      <c r="K130" s="2" t="s">
        <v>7307</v>
      </c>
      <c r="L130" s="4" t="s">
        <v>8090</v>
      </c>
      <c r="M130" s="1" t="s">
        <v>12195</v>
      </c>
      <c r="P130" s="7" t="s">
        <v>1241</v>
      </c>
      <c r="Q130" s="14"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R130" s="14"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S130" s="13" t="str">
        <f>INDEX($L:$L, MATCH("immune", $B:$B, 0))</f>
        <v>&lt;span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v>
      </c>
      <c r="AU130" s="15"/>
      <c r="AV130" s="1" t="s">
        <v>1502</v>
      </c>
      <c r="BG130" s="7" t="s">
        <v>1503</v>
      </c>
      <c r="BH130" s="1" t="s">
        <v>2034</v>
      </c>
      <c r="BI130" s="2" t="s">
        <v>7308</v>
      </c>
      <c r="BJ130" s="1" t="s">
        <v>2044</v>
      </c>
      <c r="BK130" s="2" t="s">
        <v>2373</v>
      </c>
    </row>
    <row r="131" spans="1:71" ht="180" x14ac:dyDescent="0.45">
      <c r="A131" s="5">
        <v>130</v>
      </c>
      <c r="B131" s="8" t="s">
        <v>1561</v>
      </c>
      <c r="C131" s="6" t="s">
        <v>1816</v>
      </c>
      <c r="D131" s="7" t="s">
        <v>9794</v>
      </c>
      <c r="E131" s="1" t="s">
        <v>46</v>
      </c>
      <c r="F131" s="1" t="s">
        <v>1332</v>
      </c>
      <c r="G131" s="1"/>
      <c r="J131" s="1" t="s">
        <v>9795</v>
      </c>
      <c r="K131" s="3" t="s">
        <v>7309</v>
      </c>
      <c r="L131" s="4" t="s">
        <v>10470</v>
      </c>
      <c r="M131" s="1" t="s">
        <v>12211</v>
      </c>
      <c r="P131" s="7" t="s">
        <v>1241</v>
      </c>
      <c r="Q131" s="14"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131" s="14"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S131" s="14"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T131" s="14"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U131" s="1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V131"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U131" s="15"/>
      <c r="AV131" s="1" t="s">
        <v>1502</v>
      </c>
      <c r="BG131" s="7" t="s">
        <v>1503</v>
      </c>
      <c r="BH131" s="1" t="s">
        <v>2034</v>
      </c>
      <c r="BI131" s="2" t="s">
        <v>2374</v>
      </c>
      <c r="BJ131" s="1" t="s">
        <v>1504</v>
      </c>
      <c r="BK131" s="2" t="s">
        <v>2375</v>
      </c>
      <c r="BL131" s="1" t="s">
        <v>2044</v>
      </c>
      <c r="BM131" s="2" t="s">
        <v>2376</v>
      </c>
    </row>
    <row r="132" spans="1:71" ht="288" x14ac:dyDescent="0.45">
      <c r="A132" s="5">
        <v>131</v>
      </c>
      <c r="B132" s="8" t="s">
        <v>105</v>
      </c>
      <c r="C132" s="6" t="s">
        <v>1816</v>
      </c>
      <c r="D132" s="7" t="s">
        <v>9794</v>
      </c>
      <c r="E132" s="1" t="s">
        <v>46</v>
      </c>
      <c r="F132" s="1" t="s">
        <v>1333</v>
      </c>
      <c r="G132" s="1"/>
      <c r="J132" s="1" t="s">
        <v>9795</v>
      </c>
      <c r="K132" s="2" t="s">
        <v>7310</v>
      </c>
      <c r="L132" s="4" t="s">
        <v>8091</v>
      </c>
      <c r="M132" s="1" t="s">
        <v>12212</v>
      </c>
      <c r="P132" s="7" t="s">
        <v>1241</v>
      </c>
      <c r="Q132" s="14"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R132" s="14"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S132" s="13"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AU132" s="15"/>
      <c r="AV132" s="1" t="s">
        <v>1502</v>
      </c>
      <c r="BG132" s="7" t="s">
        <v>1503</v>
      </c>
      <c r="BH132" s="1" t="s">
        <v>2034</v>
      </c>
      <c r="BI132" s="2" t="s">
        <v>2377</v>
      </c>
      <c r="BJ132" s="1" t="s">
        <v>1865</v>
      </c>
      <c r="BK132" s="2" t="s">
        <v>2378</v>
      </c>
    </row>
    <row r="133" spans="1:71" ht="216" x14ac:dyDescent="0.45">
      <c r="A133" s="5">
        <v>132</v>
      </c>
      <c r="B133" s="8" t="s">
        <v>106</v>
      </c>
      <c r="C133" s="6" t="s">
        <v>1816</v>
      </c>
      <c r="D133" s="7" t="s">
        <v>9794</v>
      </c>
      <c r="E133" s="1" t="s">
        <v>1251</v>
      </c>
      <c r="F133" s="1" t="s">
        <v>1334</v>
      </c>
      <c r="G133" s="1"/>
      <c r="J133" s="1" t="s">
        <v>9795</v>
      </c>
      <c r="K133" s="2" t="s">
        <v>7311</v>
      </c>
      <c r="L133" s="4" t="s">
        <v>11669</v>
      </c>
      <c r="P133" s="7" t="s">
        <v>1241</v>
      </c>
      <c r="Q133" s="14"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R133" s="14"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S133" s="13"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T133" s="13"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U133"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133"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W133" s="13"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AU133" s="15"/>
      <c r="AV133" s="1" t="s">
        <v>1502</v>
      </c>
      <c r="BG133" s="7" t="s">
        <v>1503</v>
      </c>
      <c r="BH133" s="1" t="s">
        <v>2379</v>
      </c>
      <c r="BI133" s="2" t="s">
        <v>7312</v>
      </c>
      <c r="BJ133" s="1" t="s">
        <v>1504</v>
      </c>
      <c r="BK133" s="2" t="s">
        <v>2380</v>
      </c>
      <c r="BL133" s="1" t="s">
        <v>2044</v>
      </c>
      <c r="BM133" s="2" t="s">
        <v>2381</v>
      </c>
    </row>
    <row r="134" spans="1:71" ht="409.6" x14ac:dyDescent="0.45">
      <c r="A134" s="5">
        <v>133</v>
      </c>
      <c r="B134" s="8" t="s">
        <v>107</v>
      </c>
      <c r="C134" s="6" t="s">
        <v>1816</v>
      </c>
      <c r="D134" s="7" t="s">
        <v>9794</v>
      </c>
      <c r="E134" s="1" t="s">
        <v>1251</v>
      </c>
      <c r="F134" s="1" t="s">
        <v>4769</v>
      </c>
      <c r="G134" s="1"/>
      <c r="J134" s="1" t="s">
        <v>9795</v>
      </c>
      <c r="K134" s="2" t="s">
        <v>7313</v>
      </c>
      <c r="L134" s="4" t="s">
        <v>8092</v>
      </c>
      <c r="M134" s="1" t="s">
        <v>12189</v>
      </c>
      <c r="P134" s="7" t="s">
        <v>1241</v>
      </c>
      <c r="Q134" s="1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R134" s="1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S134" s="1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T134" s="1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U134" s="1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V134" s="1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134" s="1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134" s="1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134" s="1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34" s="1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134" s="15"/>
      <c r="AV134" s="1" t="s">
        <v>1502</v>
      </c>
      <c r="BG134" s="7" t="s">
        <v>1503</v>
      </c>
      <c r="BH134" s="1" t="s">
        <v>2034</v>
      </c>
      <c r="BI134" s="2" t="s">
        <v>2382</v>
      </c>
      <c r="BJ134" s="1" t="s">
        <v>2017</v>
      </c>
      <c r="BK134" s="2" t="s">
        <v>2383</v>
      </c>
      <c r="BL134" s="1" t="s">
        <v>1865</v>
      </c>
      <c r="BM134" s="2" t="s">
        <v>2384</v>
      </c>
    </row>
    <row r="135" spans="1:71" ht="90" x14ac:dyDescent="0.45">
      <c r="A135" s="5">
        <v>134</v>
      </c>
      <c r="B135" s="8" t="s">
        <v>1265</v>
      </c>
      <c r="C135" s="6" t="s">
        <v>1816</v>
      </c>
      <c r="D135" s="7" t="s">
        <v>9794</v>
      </c>
      <c r="E135" s="1" t="s">
        <v>108</v>
      </c>
      <c r="F135" s="1"/>
      <c r="G135" s="1"/>
      <c r="J135" s="1" t="s">
        <v>9795</v>
      </c>
      <c r="K135" s="2" t="s">
        <v>7157</v>
      </c>
      <c r="L135" s="4" t="s">
        <v>8093</v>
      </c>
      <c r="P135" s="7" t="s">
        <v>1241</v>
      </c>
      <c r="Q135" s="13" t="str">
        <f>INDEX($L:$L, MATCH("research", $B:$B, 0))</f>
        <v>&lt;span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v>
      </c>
      <c r="AU135" s="15"/>
      <c r="AV135" s="1" t="s">
        <v>1502</v>
      </c>
      <c r="BG135" s="7" t="s">
        <v>1503</v>
      </c>
      <c r="BH135" s="1" t="s">
        <v>2034</v>
      </c>
      <c r="BI135" s="2" t="s">
        <v>7314</v>
      </c>
      <c r="BJ135" s="1" t="s">
        <v>2036</v>
      </c>
      <c r="BK135" s="1" t="s">
        <v>2089</v>
      </c>
      <c r="BL135" s="1" t="s">
        <v>1504</v>
      </c>
      <c r="BM135" s="2" t="s">
        <v>2385</v>
      </c>
      <c r="BN135" s="1" t="s">
        <v>2044</v>
      </c>
      <c r="BO135" s="2" t="s">
        <v>2386</v>
      </c>
    </row>
    <row r="136" spans="1:71" ht="108" x14ac:dyDescent="0.45">
      <c r="A136" s="5">
        <v>135</v>
      </c>
      <c r="B136" s="8" t="s">
        <v>1562</v>
      </c>
      <c r="C136" s="6" t="s">
        <v>1816</v>
      </c>
      <c r="D136" s="7" t="s">
        <v>9794</v>
      </c>
      <c r="E136" s="1" t="s">
        <v>46</v>
      </c>
      <c r="F136" s="1" t="s">
        <v>1335</v>
      </c>
      <c r="G136" s="1"/>
      <c r="J136" s="1" t="s">
        <v>9795</v>
      </c>
      <c r="K136" s="2" t="s">
        <v>7315</v>
      </c>
      <c r="L136" s="9" t="s">
        <v>8094</v>
      </c>
      <c r="P136" s="7" t="s">
        <v>1241</v>
      </c>
      <c r="AU136" s="15"/>
      <c r="AV136" s="1" t="s">
        <v>1502</v>
      </c>
      <c r="BG136" s="7" t="s">
        <v>1503</v>
      </c>
      <c r="BH136" s="1" t="s">
        <v>2034</v>
      </c>
      <c r="BI136" s="2" t="s">
        <v>2387</v>
      </c>
      <c r="BJ136" s="1" t="s">
        <v>2044</v>
      </c>
      <c r="BK136" s="2" t="s">
        <v>2388</v>
      </c>
    </row>
    <row r="137" spans="1:71" ht="198" x14ac:dyDescent="0.45">
      <c r="A137" s="5">
        <v>136</v>
      </c>
      <c r="B137" s="8" t="s">
        <v>1563</v>
      </c>
      <c r="C137" s="6" t="s">
        <v>1816</v>
      </c>
      <c r="D137" s="7" t="s">
        <v>9794</v>
      </c>
      <c r="E137" s="1" t="s">
        <v>1327</v>
      </c>
      <c r="F137" s="1" t="s">
        <v>1336</v>
      </c>
      <c r="G137" s="1"/>
      <c r="J137" s="1" t="s">
        <v>9795</v>
      </c>
      <c r="K137" s="2" t="s">
        <v>7316</v>
      </c>
      <c r="L137" s="3" t="s">
        <v>8095</v>
      </c>
      <c r="M137" s="1" t="s">
        <v>12213</v>
      </c>
      <c r="P137" s="7" t="s">
        <v>1241</v>
      </c>
      <c r="Q137" s="14" t="str">
        <f>INDEX($L:$L, MATCH("inclined", $B:$B, 0))</f>
        <v>&lt;span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v>
      </c>
      <c r="R137" s="14" t="str">
        <f>INDEX($L:$L, MATCH("client", $B:$B, 0))</f>
        <v>&lt;span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v>
      </c>
      <c r="S137" s="15"/>
      <c r="T137" s="15"/>
      <c r="AU137" s="15"/>
      <c r="AV137" s="1" t="s">
        <v>1502</v>
      </c>
      <c r="BG137" s="7" t="s">
        <v>1503</v>
      </c>
      <c r="BH137" s="1" t="s">
        <v>2034</v>
      </c>
      <c r="BI137" s="2" t="s">
        <v>7317</v>
      </c>
      <c r="BJ137" s="1" t="s">
        <v>1504</v>
      </c>
      <c r="BK137" s="1" t="s">
        <v>2389</v>
      </c>
      <c r="BL137" s="1" t="s">
        <v>2044</v>
      </c>
      <c r="BM137" s="2" t="s">
        <v>2390</v>
      </c>
      <c r="BN137" s="1" t="s">
        <v>1865</v>
      </c>
      <c r="BO137" s="2" t="s">
        <v>2391</v>
      </c>
    </row>
    <row r="138" spans="1:71" ht="324" x14ac:dyDescent="0.45">
      <c r="A138" s="5">
        <v>137</v>
      </c>
      <c r="B138" s="8" t="s">
        <v>109</v>
      </c>
      <c r="C138" s="6" t="s">
        <v>1816</v>
      </c>
      <c r="D138" s="7" t="s">
        <v>9794</v>
      </c>
      <c r="E138" s="1" t="s">
        <v>1338</v>
      </c>
      <c r="F138" s="1" t="s">
        <v>1339</v>
      </c>
      <c r="G138" s="1"/>
      <c r="J138" s="1" t="s">
        <v>9795</v>
      </c>
      <c r="K138" s="2" t="s">
        <v>7318</v>
      </c>
      <c r="L138" s="3" t="s">
        <v>8096</v>
      </c>
      <c r="M138" s="1" t="s">
        <v>12206</v>
      </c>
      <c r="P138" s="7" t="s">
        <v>1241</v>
      </c>
      <c r="Q138" s="14"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R138" s="14"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S138" s="14"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T138" s="14"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U138" s="14"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V138" s="1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W138" s="15"/>
      <c r="AU138" s="15"/>
      <c r="AV138" s="1" t="s">
        <v>1502</v>
      </c>
      <c r="BG138" s="7" t="s">
        <v>1503</v>
      </c>
      <c r="BH138" s="1" t="s">
        <v>2034</v>
      </c>
      <c r="BI138" s="2" t="s">
        <v>2392</v>
      </c>
      <c r="BJ138" s="1" t="s">
        <v>2324</v>
      </c>
      <c r="BK138" s="1" t="s">
        <v>2393</v>
      </c>
      <c r="BL138" s="1" t="s">
        <v>2044</v>
      </c>
      <c r="BM138" s="2" t="s">
        <v>2394</v>
      </c>
      <c r="BN138" s="1" t="s">
        <v>1865</v>
      </c>
      <c r="BO138" s="2" t="s">
        <v>2395</v>
      </c>
    </row>
    <row r="139" spans="1:71" ht="360" x14ac:dyDescent="0.45">
      <c r="A139" s="5">
        <v>138</v>
      </c>
      <c r="B139" s="8" t="s">
        <v>1340</v>
      </c>
      <c r="C139" s="6" t="s">
        <v>1816</v>
      </c>
      <c r="D139" s="7" t="s">
        <v>9794</v>
      </c>
      <c r="E139" s="1" t="s">
        <v>1684</v>
      </c>
      <c r="F139" s="1" t="s">
        <v>1250</v>
      </c>
      <c r="G139" s="1"/>
      <c r="J139" s="1" t="s">
        <v>9795</v>
      </c>
      <c r="K139" s="2" t="s">
        <v>7319</v>
      </c>
      <c r="L139" s="3" t="s">
        <v>10074</v>
      </c>
      <c r="M139" s="1" t="s">
        <v>12169</v>
      </c>
      <c r="P139" s="7" t="s">
        <v>1241</v>
      </c>
      <c r="Q139" s="1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39" s="1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139" s="1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139" s="1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U139" s="1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V139" s="1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139" s="1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139" s="1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139" s="15"/>
      <c r="AV139" s="1" t="s">
        <v>1502</v>
      </c>
      <c r="BG139" s="7" t="s">
        <v>1503</v>
      </c>
      <c r="BH139" s="1" t="s">
        <v>2034</v>
      </c>
      <c r="BI139" s="2" t="s">
        <v>10075</v>
      </c>
      <c r="BJ139" s="1" t="s">
        <v>2048</v>
      </c>
      <c r="BK139" s="1" t="s">
        <v>2396</v>
      </c>
      <c r="BL139" s="1" t="s">
        <v>1504</v>
      </c>
      <c r="BM139" s="1" t="s">
        <v>2397</v>
      </c>
      <c r="BN139" s="1" t="s">
        <v>2044</v>
      </c>
      <c r="BO139" s="2" t="s">
        <v>2398</v>
      </c>
    </row>
    <row r="140" spans="1:71" ht="234" x14ac:dyDescent="0.45">
      <c r="A140" s="5">
        <v>139</v>
      </c>
      <c r="B140" s="8" t="s">
        <v>1564</v>
      </c>
      <c r="C140" s="6" t="s">
        <v>1816</v>
      </c>
      <c r="D140" s="7" t="s">
        <v>9794</v>
      </c>
      <c r="E140" s="1" t="s">
        <v>1341</v>
      </c>
      <c r="F140" s="1" t="s">
        <v>1342</v>
      </c>
      <c r="G140" s="1"/>
      <c r="J140" s="1" t="s">
        <v>9795</v>
      </c>
      <c r="K140" s="2" t="s">
        <v>7320</v>
      </c>
      <c r="L140" s="4" t="s">
        <v>8097</v>
      </c>
      <c r="M140" s="1" t="s">
        <v>12214</v>
      </c>
      <c r="P140" s="7" t="s">
        <v>1241</v>
      </c>
      <c r="Q140" s="14"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R140" s="14" t="str">
        <f>INDEX($L:$L, MATCH("vivid", $B:$B, 0))</f>
        <v>&lt;span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v>
      </c>
      <c r="S140" s="13" t="str">
        <f>INDEX($L:$L, MATCH("vital", $B:$B, 0))</f>
        <v>&lt;span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v>
      </c>
      <c r="AU140" s="15"/>
      <c r="AV140" s="1" t="s">
        <v>1502</v>
      </c>
      <c r="BG140" s="7" t="s">
        <v>1503</v>
      </c>
      <c r="BH140" s="1" t="s">
        <v>2034</v>
      </c>
      <c r="BI140" s="2" t="s">
        <v>2399</v>
      </c>
      <c r="BJ140" s="1" t="s">
        <v>2324</v>
      </c>
      <c r="BK140" s="1" t="s">
        <v>2400</v>
      </c>
      <c r="BL140" s="1" t="s">
        <v>1504</v>
      </c>
      <c r="BM140" s="1" t="s">
        <v>2401</v>
      </c>
      <c r="BN140" s="1" t="s">
        <v>2044</v>
      </c>
      <c r="BO140" s="2" t="s">
        <v>2402</v>
      </c>
    </row>
    <row r="141" spans="1:71" ht="126" x14ac:dyDescent="0.45">
      <c r="A141" s="5">
        <v>140</v>
      </c>
      <c r="B141" s="8" t="s">
        <v>110</v>
      </c>
      <c r="C141" s="6" t="s">
        <v>1816</v>
      </c>
      <c r="D141" s="7" t="s">
        <v>9794</v>
      </c>
      <c r="E141" s="1" t="s">
        <v>110</v>
      </c>
      <c r="F141" s="1"/>
      <c r="G141" s="1"/>
      <c r="J141" s="1" t="s">
        <v>9795</v>
      </c>
      <c r="K141" s="2" t="s">
        <v>7321</v>
      </c>
      <c r="L141" s="4" t="s">
        <v>8098</v>
      </c>
      <c r="P141" s="7" t="s">
        <v>1241</v>
      </c>
      <c r="Q141" s="13" t="str">
        <f>INDEX($L:$L, MATCH("public", $B:$B, 0))</f>
        <v>&lt;span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v>
      </c>
      <c r="R141" s="13"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AU141" s="15"/>
      <c r="AV141" s="1" t="s">
        <v>1502</v>
      </c>
      <c r="BG141" s="7" t="s">
        <v>1503</v>
      </c>
      <c r="BH141" s="1" t="s">
        <v>2034</v>
      </c>
      <c r="BI141" s="2" t="s">
        <v>2403</v>
      </c>
      <c r="BJ141" s="1" t="s">
        <v>1504</v>
      </c>
      <c r="BK141" s="1" t="s">
        <v>2404</v>
      </c>
      <c r="BL141" s="1" t="s">
        <v>2044</v>
      </c>
      <c r="BM141" s="2" t="s">
        <v>2405</v>
      </c>
    </row>
    <row r="142" spans="1:71" ht="144" x14ac:dyDescent="0.45">
      <c r="A142" s="5">
        <v>141</v>
      </c>
      <c r="B142" s="8" t="s">
        <v>7322</v>
      </c>
      <c r="C142" s="6" t="s">
        <v>6851</v>
      </c>
      <c r="D142" s="7" t="s">
        <v>9794</v>
      </c>
      <c r="E142" s="1" t="s">
        <v>1343</v>
      </c>
      <c r="F142" s="1" t="s">
        <v>7323</v>
      </c>
      <c r="G142" s="1" t="s">
        <v>1522</v>
      </c>
      <c r="J142" s="1" t="s">
        <v>9795</v>
      </c>
      <c r="K142" s="2" t="s">
        <v>7324</v>
      </c>
      <c r="L142" s="3" t="s">
        <v>8099</v>
      </c>
      <c r="M142" s="1" t="s">
        <v>12215</v>
      </c>
      <c r="P142" s="7" t="s">
        <v>1241</v>
      </c>
      <c r="Q142" s="13"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R142" s="13"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S142" s="13"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AU142" s="15"/>
      <c r="AV142" s="1" t="s">
        <v>1502</v>
      </c>
      <c r="BG142" s="7" t="s">
        <v>1503</v>
      </c>
      <c r="BH142" s="1" t="s">
        <v>2034</v>
      </c>
      <c r="BI142" s="2" t="s">
        <v>7325</v>
      </c>
      <c r="BJ142" s="1" t="s">
        <v>1504</v>
      </c>
      <c r="BK142" s="1" t="s">
        <v>2406</v>
      </c>
      <c r="BL142" s="1" t="s">
        <v>2044</v>
      </c>
      <c r="BM142" s="2" t="s">
        <v>2407</v>
      </c>
    </row>
    <row r="143" spans="1:71" ht="144" x14ac:dyDescent="0.45">
      <c r="A143" s="5">
        <v>142</v>
      </c>
      <c r="B143" s="8" t="s">
        <v>111</v>
      </c>
      <c r="C143" s="6" t="s">
        <v>6851</v>
      </c>
      <c r="D143" s="7" t="s">
        <v>9794</v>
      </c>
      <c r="E143" s="1" t="s">
        <v>111</v>
      </c>
      <c r="F143" s="1"/>
      <c r="G143" s="1"/>
      <c r="J143" s="1" t="s">
        <v>9795</v>
      </c>
      <c r="K143" s="2" t="s">
        <v>7326</v>
      </c>
      <c r="L143" s="9" t="s">
        <v>8100</v>
      </c>
      <c r="P143" s="7" t="s">
        <v>1241</v>
      </c>
      <c r="Q143" s="19"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143" s="19"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S143" s="19"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T143" s="19"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AU143" s="15"/>
      <c r="AV143" s="1" t="s">
        <v>1502</v>
      </c>
      <c r="BG143" s="7" t="s">
        <v>1503</v>
      </c>
      <c r="BH143" s="1" t="s">
        <v>2034</v>
      </c>
      <c r="BI143" s="2" t="s">
        <v>2408</v>
      </c>
      <c r="BJ143" s="1" t="s">
        <v>1980</v>
      </c>
      <c r="BK143" s="1" t="s">
        <v>7327</v>
      </c>
      <c r="BL143" s="1" t="s">
        <v>2048</v>
      </c>
      <c r="BM143" s="1" t="s">
        <v>2409</v>
      </c>
      <c r="BN143" s="1" t="s">
        <v>2410</v>
      </c>
      <c r="BO143" s="1" t="s">
        <v>2411</v>
      </c>
      <c r="BP143" s="1" t="s">
        <v>2044</v>
      </c>
      <c r="BQ143" s="2" t="s">
        <v>2412</v>
      </c>
      <c r="BR143" s="1" t="s">
        <v>1865</v>
      </c>
      <c r="BS143" s="2" t="s">
        <v>2413</v>
      </c>
    </row>
    <row r="144" spans="1:71" ht="180" x14ac:dyDescent="0.45">
      <c r="A144" s="5">
        <v>143</v>
      </c>
      <c r="B144" s="8" t="s">
        <v>1523</v>
      </c>
      <c r="C144" s="6" t="s">
        <v>6851</v>
      </c>
      <c r="D144" s="7" t="s">
        <v>9794</v>
      </c>
      <c r="E144" s="1" t="s">
        <v>8929</v>
      </c>
      <c r="F144" s="1" t="s">
        <v>8930</v>
      </c>
      <c r="G144" s="1"/>
      <c r="J144" s="1" t="s">
        <v>9795</v>
      </c>
      <c r="K144" s="2" t="s">
        <v>7328</v>
      </c>
      <c r="L144" s="4" t="s">
        <v>8101</v>
      </c>
      <c r="M144" s="1" t="s">
        <v>12216</v>
      </c>
      <c r="P144" s="7" t="s">
        <v>1241</v>
      </c>
      <c r="Q144" s="14"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144"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S144" s="1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T144" s="14"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144" s="13"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V144"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144" s="15"/>
      <c r="AV144" s="1" t="s">
        <v>1502</v>
      </c>
      <c r="BG144" s="7" t="s">
        <v>1503</v>
      </c>
      <c r="BH144" s="1" t="s">
        <v>2414</v>
      </c>
      <c r="BI144" s="2" t="s">
        <v>2415</v>
      </c>
      <c r="BJ144" s="1" t="s">
        <v>2034</v>
      </c>
      <c r="BK144" s="2" t="s">
        <v>2416</v>
      </c>
      <c r="BL144" s="1" t="s">
        <v>1504</v>
      </c>
      <c r="BM144" s="1" t="s">
        <v>2417</v>
      </c>
      <c r="BN144" s="1" t="s">
        <v>2044</v>
      </c>
      <c r="BO144" s="2" t="s">
        <v>2418</v>
      </c>
      <c r="BP144" s="1" t="s">
        <v>2419</v>
      </c>
      <c r="BQ144" s="2" t="s">
        <v>2420</v>
      </c>
    </row>
    <row r="145" spans="1:71" ht="198" x14ac:dyDescent="0.45">
      <c r="A145" s="5">
        <v>144</v>
      </c>
      <c r="B145" s="8" t="s">
        <v>1565</v>
      </c>
      <c r="C145" s="6" t="s">
        <v>6851</v>
      </c>
      <c r="D145" s="7" t="s">
        <v>9794</v>
      </c>
      <c r="E145" s="1" t="s">
        <v>112</v>
      </c>
      <c r="F145" s="1"/>
      <c r="G145" s="1"/>
      <c r="J145" s="1" t="s">
        <v>9795</v>
      </c>
      <c r="K145" s="2" t="s">
        <v>7329</v>
      </c>
      <c r="L145" s="4" t="s">
        <v>8102</v>
      </c>
      <c r="M145" s="1" t="s">
        <v>12217</v>
      </c>
      <c r="P145" s="7" t="s">
        <v>1241</v>
      </c>
      <c r="Q145" s="14" t="str">
        <f>INDEX($L:$L, MATCH("immediate", $B:$B, 0))</f>
        <v>&lt;span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v>
      </c>
      <c r="R145" s="14" t="str">
        <f>INDEX($L:$L, MATCH("means", $B:$B, 0))</f>
        <v>&lt;span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v>
      </c>
      <c r="S145" s="14" t="str">
        <f>INDEX($L:$L, MATCH("medieval", $B:$B, 0))</f>
        <v>&lt;span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v>
      </c>
      <c r="T145" s="15"/>
      <c r="AU145" s="15"/>
      <c r="AV145" s="1" t="s">
        <v>1502</v>
      </c>
      <c r="BG145" s="7" t="s">
        <v>1503</v>
      </c>
      <c r="BH145" s="1" t="s">
        <v>2034</v>
      </c>
      <c r="BI145" s="2" t="s">
        <v>2421</v>
      </c>
      <c r="BJ145" s="1" t="s">
        <v>1865</v>
      </c>
      <c r="BK145" s="2" t="s">
        <v>2422</v>
      </c>
    </row>
    <row r="146" spans="1:71" ht="126" x14ac:dyDescent="0.45">
      <c r="A146" s="5">
        <v>145</v>
      </c>
      <c r="B146" s="8" t="s">
        <v>113</v>
      </c>
      <c r="C146" s="6" t="s">
        <v>6851</v>
      </c>
      <c r="D146" s="7" t="s">
        <v>9794</v>
      </c>
      <c r="E146" s="1" t="s">
        <v>1344</v>
      </c>
      <c r="F146" s="1" t="s">
        <v>1345</v>
      </c>
      <c r="G146" s="1"/>
      <c r="J146" s="1" t="s">
        <v>9795</v>
      </c>
      <c r="K146" s="2" t="s">
        <v>7330</v>
      </c>
      <c r="L146" s="9" t="s">
        <v>8103</v>
      </c>
      <c r="P146" s="7" t="s">
        <v>1241</v>
      </c>
      <c r="Q146" s="13" t="str">
        <f>INDEX($L:$L, MATCH("ecology", $B:$B, 0))</f>
        <v>&lt;span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v>
      </c>
      <c r="AU146" s="15"/>
      <c r="AV146" s="1" t="s">
        <v>1502</v>
      </c>
      <c r="BG146" s="7" t="s">
        <v>1503</v>
      </c>
      <c r="BH146" s="1" t="s">
        <v>2423</v>
      </c>
      <c r="BI146" s="2" t="s">
        <v>2424</v>
      </c>
      <c r="BJ146" s="1" t="s">
        <v>2034</v>
      </c>
      <c r="BK146" s="2" t="s">
        <v>2425</v>
      </c>
      <c r="BL146" s="1" t="s">
        <v>1865</v>
      </c>
      <c r="BM146" s="2" t="s">
        <v>2426</v>
      </c>
    </row>
    <row r="147" spans="1:71" ht="216" x14ac:dyDescent="0.45">
      <c r="A147" s="5">
        <v>146</v>
      </c>
      <c r="B147" s="8" t="s">
        <v>1348</v>
      </c>
      <c r="C147" s="6" t="s">
        <v>6851</v>
      </c>
      <c r="D147" s="7" t="s">
        <v>9794</v>
      </c>
      <c r="E147" s="1" t="s">
        <v>114</v>
      </c>
      <c r="F147" s="1"/>
      <c r="G147" s="1"/>
      <c r="J147" s="1" t="s">
        <v>9795</v>
      </c>
      <c r="K147" s="2" t="s">
        <v>7331</v>
      </c>
      <c r="L147" s="4" t="s">
        <v>8104</v>
      </c>
      <c r="P147" s="7" t="s">
        <v>1241</v>
      </c>
      <c r="Q147" s="13"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R147" s="13" t="str">
        <f>INDEX($L:$L, MATCH("metropolitan", $B:$B, 0))</f>
        <v>&lt;span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v>
      </c>
      <c r="AU147" s="15"/>
      <c r="AV147" s="1" t="s">
        <v>1502</v>
      </c>
      <c r="BG147" s="7" t="s">
        <v>1503</v>
      </c>
      <c r="BH147" s="1" t="s">
        <v>2423</v>
      </c>
      <c r="BI147" s="2" t="s">
        <v>2427</v>
      </c>
      <c r="BJ147" s="1" t="s">
        <v>2324</v>
      </c>
      <c r="BK147" s="2" t="s">
        <v>2428</v>
      </c>
      <c r="BL147" s="1" t="s">
        <v>1504</v>
      </c>
      <c r="BM147" s="1" t="s">
        <v>7332</v>
      </c>
      <c r="BN147" s="1" t="s">
        <v>2044</v>
      </c>
      <c r="BO147" s="2" t="s">
        <v>7333</v>
      </c>
    </row>
    <row r="148" spans="1:71" ht="234" x14ac:dyDescent="0.45">
      <c r="A148" s="5">
        <v>147</v>
      </c>
      <c r="B148" s="8" t="s">
        <v>115</v>
      </c>
      <c r="C148" s="6" t="s">
        <v>6851</v>
      </c>
      <c r="D148" s="7" t="s">
        <v>9794</v>
      </c>
      <c r="E148" s="1" t="s">
        <v>1346</v>
      </c>
      <c r="F148" s="1" t="s">
        <v>1347</v>
      </c>
      <c r="G148" s="1"/>
      <c r="J148" s="1" t="s">
        <v>9795</v>
      </c>
      <c r="K148" s="2" t="s">
        <v>7334</v>
      </c>
      <c r="L148" s="4" t="s">
        <v>10693</v>
      </c>
      <c r="M148" s="1" t="s">
        <v>12218</v>
      </c>
      <c r="P148" s="7" t="s">
        <v>1241</v>
      </c>
      <c r="Q148" s="14" t="str">
        <f>INDEX($L:$L, MATCH("discount", $B:$B, 0))</f>
        <v>&lt;span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v>
      </c>
      <c r="R148" s="14"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S148" s="13"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T148" s="13"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AU148" s="15"/>
      <c r="AV148" s="1" t="s">
        <v>1502</v>
      </c>
      <c r="BG148" s="7" t="s">
        <v>1503</v>
      </c>
      <c r="BH148" s="1" t="s">
        <v>2034</v>
      </c>
      <c r="BI148" s="2" t="s">
        <v>2429</v>
      </c>
      <c r="BJ148" s="1" t="s">
        <v>2324</v>
      </c>
      <c r="BK148" s="2" t="s">
        <v>2430</v>
      </c>
      <c r="BL148" s="1" t="s">
        <v>1504</v>
      </c>
      <c r="BM148" s="2" t="s">
        <v>2431</v>
      </c>
      <c r="BN148" s="1" t="s">
        <v>2044</v>
      </c>
      <c r="BO148" s="2" t="s">
        <v>2484</v>
      </c>
      <c r="BP148" s="1" t="s">
        <v>1865</v>
      </c>
      <c r="BQ148" s="2" t="s">
        <v>7335</v>
      </c>
    </row>
    <row r="149" spans="1:71" ht="108" x14ac:dyDescent="0.45">
      <c r="A149" s="5">
        <v>148</v>
      </c>
      <c r="B149" s="8" t="s">
        <v>116</v>
      </c>
      <c r="C149" s="6" t="s">
        <v>6851</v>
      </c>
      <c r="D149" s="7" t="s">
        <v>9794</v>
      </c>
      <c r="E149" s="1" t="s">
        <v>116</v>
      </c>
      <c r="F149" s="1"/>
      <c r="G149" s="1"/>
      <c r="J149" s="1" t="s">
        <v>9795</v>
      </c>
      <c r="K149" s="2" t="s">
        <v>7336</v>
      </c>
      <c r="L149" s="9" t="s">
        <v>8105</v>
      </c>
      <c r="P149" s="7" t="s">
        <v>1241</v>
      </c>
      <c r="AV149" s="1" t="s">
        <v>1502</v>
      </c>
      <c r="BG149" s="7" t="s">
        <v>1503</v>
      </c>
      <c r="BH149" s="1" t="s">
        <v>7337</v>
      </c>
      <c r="BI149" s="1" t="s">
        <v>2432</v>
      </c>
      <c r="BJ149" s="1" t="s">
        <v>2044</v>
      </c>
      <c r="BK149" s="2" t="s">
        <v>7338</v>
      </c>
      <c r="BL149" s="1" t="s">
        <v>1865</v>
      </c>
      <c r="BM149" s="2" t="s">
        <v>2433</v>
      </c>
    </row>
    <row r="150" spans="1:71" ht="270" x14ac:dyDescent="0.45">
      <c r="A150" s="5">
        <v>149</v>
      </c>
      <c r="B150" s="8" t="s">
        <v>117</v>
      </c>
      <c r="C150" s="6" t="s">
        <v>6851</v>
      </c>
      <c r="D150" s="7" t="s">
        <v>9794</v>
      </c>
      <c r="E150" s="1" t="s">
        <v>117</v>
      </c>
      <c r="F150" s="1"/>
      <c r="G150" s="1"/>
      <c r="J150" s="1" t="s">
        <v>9795</v>
      </c>
      <c r="K150" s="2" t="s">
        <v>7339</v>
      </c>
      <c r="L150" s="4" t="s">
        <v>8106</v>
      </c>
      <c r="M150" s="1" t="s">
        <v>12219</v>
      </c>
      <c r="P150" s="7" t="s">
        <v>1241</v>
      </c>
      <c r="Q150" s="14"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R150" s="14"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S150" s="14"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T150" s="14"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U150" s="14"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V150" s="15"/>
      <c r="W150" s="15"/>
      <c r="X150" s="15"/>
      <c r="AV150" s="1" t="s">
        <v>1502</v>
      </c>
      <c r="BG150" s="7" t="s">
        <v>1503</v>
      </c>
      <c r="BH150" s="1" t="s">
        <v>1976</v>
      </c>
      <c r="BI150" s="1" t="s">
        <v>2434</v>
      </c>
      <c r="BJ150" s="1" t="s">
        <v>2034</v>
      </c>
      <c r="BK150" s="2" t="s">
        <v>7340</v>
      </c>
      <c r="BL150" s="1" t="s">
        <v>2048</v>
      </c>
      <c r="BM150" s="1" t="s">
        <v>2435</v>
      </c>
      <c r="BN150" s="1" t="s">
        <v>1994</v>
      </c>
      <c r="BO150" s="1" t="s">
        <v>2436</v>
      </c>
      <c r="BP150" s="1" t="s">
        <v>1996</v>
      </c>
      <c r="BQ150" s="1" t="s">
        <v>2437</v>
      </c>
      <c r="BR150" s="1" t="s">
        <v>1865</v>
      </c>
      <c r="BS150" s="2" t="s">
        <v>2438</v>
      </c>
    </row>
    <row r="151" spans="1:71" ht="162" x14ac:dyDescent="0.45">
      <c r="A151" s="5">
        <v>150</v>
      </c>
      <c r="B151" s="8" t="s">
        <v>118</v>
      </c>
      <c r="C151" s="6" t="s">
        <v>6851</v>
      </c>
      <c r="D151" s="7" t="s">
        <v>9794</v>
      </c>
      <c r="E151" s="1" t="s">
        <v>118</v>
      </c>
      <c r="F151" s="1"/>
      <c r="G151" s="1"/>
      <c r="J151" s="1" t="s">
        <v>9795</v>
      </c>
      <c r="K151" s="2" t="s">
        <v>7341</v>
      </c>
      <c r="L151" s="3" t="s">
        <v>8107</v>
      </c>
      <c r="P151" s="7" t="s">
        <v>1241</v>
      </c>
      <c r="W151" s="15"/>
      <c r="AU151" s="15"/>
      <c r="AV151" s="1" t="s">
        <v>1502</v>
      </c>
      <c r="BG151" s="7" t="s">
        <v>1503</v>
      </c>
      <c r="BH151" s="1" t="s">
        <v>2034</v>
      </c>
      <c r="BI151" s="2" t="s">
        <v>2439</v>
      </c>
      <c r="BJ151" s="1" t="s">
        <v>2324</v>
      </c>
      <c r="BK151" s="1" t="s">
        <v>2440</v>
      </c>
      <c r="BL151" s="1" t="s">
        <v>1504</v>
      </c>
      <c r="BM151" s="1" t="s">
        <v>2441</v>
      </c>
      <c r="BN151" s="1" t="s">
        <v>2044</v>
      </c>
      <c r="BO151" s="2" t="s">
        <v>2442</v>
      </c>
      <c r="BP151" s="1" t="s">
        <v>1865</v>
      </c>
      <c r="BQ151" s="2" t="s">
        <v>2443</v>
      </c>
    </row>
    <row r="152" spans="1:71" ht="180" x14ac:dyDescent="0.45">
      <c r="A152" s="5">
        <v>151</v>
      </c>
      <c r="B152" s="8" t="s">
        <v>119</v>
      </c>
      <c r="C152" s="6" t="s">
        <v>6851</v>
      </c>
      <c r="D152" s="7" t="s">
        <v>9794</v>
      </c>
      <c r="E152" s="1" t="s">
        <v>119</v>
      </c>
      <c r="F152" s="1"/>
      <c r="G152" s="1"/>
      <c r="J152" s="1" t="s">
        <v>9795</v>
      </c>
      <c r="K152" s="2" t="s">
        <v>7342</v>
      </c>
      <c r="L152" s="3" t="s">
        <v>8108</v>
      </c>
      <c r="P152" s="7" t="s">
        <v>1241</v>
      </c>
      <c r="AU152" s="15"/>
      <c r="AV152" s="1" t="s">
        <v>1502</v>
      </c>
      <c r="BG152" s="7" t="s">
        <v>1503</v>
      </c>
      <c r="BH152" s="1" t="s">
        <v>2034</v>
      </c>
      <c r="BI152" s="2" t="s">
        <v>2444</v>
      </c>
      <c r="BJ152" s="1" t="s">
        <v>1875</v>
      </c>
      <c r="BK152" s="2" t="s">
        <v>2445</v>
      </c>
      <c r="BL152" s="1" t="s">
        <v>1865</v>
      </c>
      <c r="BM152" s="2" t="s">
        <v>2446</v>
      </c>
    </row>
    <row r="153" spans="1:71" ht="162" x14ac:dyDescent="0.45">
      <c r="A153" s="5">
        <v>152</v>
      </c>
      <c r="B153" s="8" t="s">
        <v>1349</v>
      </c>
      <c r="C153" s="6" t="s">
        <v>6851</v>
      </c>
      <c r="D153" s="7" t="s">
        <v>9794</v>
      </c>
      <c r="E153" s="1" t="s">
        <v>120</v>
      </c>
      <c r="F153" s="1"/>
      <c r="G153" s="1"/>
      <c r="J153" s="1" t="s">
        <v>9795</v>
      </c>
      <c r="K153" s="2" t="s">
        <v>7343</v>
      </c>
      <c r="L153" s="4" t="s">
        <v>8109</v>
      </c>
      <c r="P153" s="7" t="s">
        <v>1241</v>
      </c>
      <c r="Q153" s="22" t="str">
        <f>INDEX($L:$L, MATCH("imagine", $B:$B, 0))</f>
        <v>&lt;span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v>
      </c>
      <c r="R153" s="22" t="str">
        <f>INDEX($L:$L, MATCH("imitate", $B:$B, 0))</f>
        <v>&lt;span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v>
      </c>
      <c r="AU153" s="15"/>
      <c r="AV153" s="1" t="s">
        <v>1502</v>
      </c>
      <c r="BG153" s="7" t="s">
        <v>1503</v>
      </c>
      <c r="BH153" s="1" t="s">
        <v>2034</v>
      </c>
      <c r="BI153" s="2" t="s">
        <v>7344</v>
      </c>
      <c r="BJ153" s="1" t="s">
        <v>1504</v>
      </c>
      <c r="BK153" s="2" t="s">
        <v>2447</v>
      </c>
      <c r="BL153" s="1" t="s">
        <v>1875</v>
      </c>
      <c r="BM153" s="2" t="s">
        <v>2448</v>
      </c>
    </row>
    <row r="154" spans="1:71" ht="252" x14ac:dyDescent="0.45">
      <c r="A154" s="5">
        <v>153</v>
      </c>
      <c r="B154" s="8" t="s">
        <v>1350</v>
      </c>
      <c r="C154" s="6" t="s">
        <v>6851</v>
      </c>
      <c r="D154" s="7" t="s">
        <v>9794</v>
      </c>
      <c r="E154" s="1" t="s">
        <v>1454</v>
      </c>
      <c r="F154" s="1" t="s">
        <v>8931</v>
      </c>
      <c r="G154" s="1" t="s">
        <v>1580</v>
      </c>
      <c r="J154" s="1" t="s">
        <v>9795</v>
      </c>
      <c r="K154" s="2" t="s">
        <v>7345</v>
      </c>
      <c r="L154" s="4" t="s">
        <v>8110</v>
      </c>
      <c r="M154" s="1" t="s">
        <v>12220</v>
      </c>
      <c r="P154" s="7" t="s">
        <v>1241</v>
      </c>
      <c r="Q154" s="14"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154" s="14"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S154" s="14"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T154" s="14"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U154" s="14"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V154" s="14"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154" s="14"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154" s="15"/>
      <c r="AV154" s="1" t="s">
        <v>1502</v>
      </c>
      <c r="BG154" s="7" t="s">
        <v>1503</v>
      </c>
      <c r="BH154" s="1" t="s">
        <v>2034</v>
      </c>
      <c r="BI154" s="2" t="s">
        <v>2449</v>
      </c>
      <c r="BJ154" s="1" t="s">
        <v>1504</v>
      </c>
      <c r="BK154" s="2" t="s">
        <v>2450</v>
      </c>
      <c r="BL154" s="1" t="s">
        <v>2017</v>
      </c>
      <c r="BM154" s="1" t="s">
        <v>2451</v>
      </c>
      <c r="BN154" s="1" t="s">
        <v>1865</v>
      </c>
      <c r="BO154" s="2" t="s">
        <v>2452</v>
      </c>
    </row>
    <row r="155" spans="1:71" ht="198" x14ac:dyDescent="0.45">
      <c r="A155" s="5">
        <v>154</v>
      </c>
      <c r="B155" s="8" t="s">
        <v>1352</v>
      </c>
      <c r="C155" s="6" t="s">
        <v>6851</v>
      </c>
      <c r="D155" s="7" t="s">
        <v>9794</v>
      </c>
      <c r="E155" s="1" t="s">
        <v>121</v>
      </c>
      <c r="F155" s="1"/>
      <c r="G155" s="1"/>
      <c r="J155" s="1" t="s">
        <v>9795</v>
      </c>
      <c r="K155" s="2" t="s">
        <v>7346</v>
      </c>
      <c r="L155" s="4" t="s">
        <v>8111</v>
      </c>
      <c r="M155" s="1" t="s">
        <v>12221</v>
      </c>
      <c r="P155" s="7" t="s">
        <v>1241</v>
      </c>
      <c r="Q155" s="14"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R155" s="14"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S155" s="14"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T155" s="14"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U155" s="13"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AU155" s="15"/>
      <c r="AV155" s="1" t="s">
        <v>1502</v>
      </c>
      <c r="BG155" s="7" t="s">
        <v>1503</v>
      </c>
      <c r="BH155" s="1" t="s">
        <v>2034</v>
      </c>
      <c r="BI155" s="2" t="s">
        <v>2453</v>
      </c>
      <c r="BJ155" s="1" t="s">
        <v>2048</v>
      </c>
      <c r="BK155" s="1" t="s">
        <v>2454</v>
      </c>
      <c r="BL155" s="1" t="s">
        <v>1504</v>
      </c>
      <c r="BM155" s="2" t="s">
        <v>2455</v>
      </c>
      <c r="BN155" s="1" t="s">
        <v>1875</v>
      </c>
      <c r="BO155" s="2" t="s">
        <v>2456</v>
      </c>
      <c r="BP155" s="1" t="s">
        <v>1865</v>
      </c>
      <c r="BQ155" s="2" t="s">
        <v>2457</v>
      </c>
    </row>
    <row r="156" spans="1:71" ht="252" x14ac:dyDescent="0.45">
      <c r="A156" s="5">
        <v>155</v>
      </c>
      <c r="B156" s="8" t="s">
        <v>122</v>
      </c>
      <c r="C156" s="6" t="s">
        <v>6851</v>
      </c>
      <c r="D156" s="7" t="s">
        <v>9794</v>
      </c>
      <c r="E156" s="1" t="s">
        <v>8932</v>
      </c>
      <c r="F156" s="1" t="s">
        <v>2476</v>
      </c>
      <c r="G156" s="1"/>
      <c r="J156" s="1" t="s">
        <v>9795</v>
      </c>
      <c r="K156" s="2" t="s">
        <v>7347</v>
      </c>
      <c r="L156" s="9" t="s">
        <v>8112</v>
      </c>
      <c r="P156" s="7" t="s">
        <v>1241</v>
      </c>
      <c r="AU156" s="15"/>
      <c r="AV156" s="1" t="s">
        <v>1502</v>
      </c>
      <c r="BG156" s="7" t="s">
        <v>1503</v>
      </c>
      <c r="BH156" s="1" t="s">
        <v>2458</v>
      </c>
      <c r="BI156" s="2" t="s">
        <v>2459</v>
      </c>
      <c r="BJ156" s="1" t="s">
        <v>2324</v>
      </c>
      <c r="BK156" s="1" t="s">
        <v>2460</v>
      </c>
      <c r="BL156" s="1" t="s">
        <v>1504</v>
      </c>
      <c r="BM156" s="2" t="s">
        <v>7348</v>
      </c>
      <c r="BN156" s="1" t="s">
        <v>1875</v>
      </c>
      <c r="BO156" s="2" t="s">
        <v>2461</v>
      </c>
      <c r="BP156" s="1" t="s">
        <v>1865</v>
      </c>
      <c r="BQ156" s="2" t="s">
        <v>2462</v>
      </c>
    </row>
    <row r="157" spans="1:71" ht="108" x14ac:dyDescent="0.45">
      <c r="A157" s="5">
        <v>156</v>
      </c>
      <c r="B157" s="8" t="s">
        <v>123</v>
      </c>
      <c r="C157" s="6" t="s">
        <v>6851</v>
      </c>
      <c r="D157" s="7" t="s">
        <v>9794</v>
      </c>
      <c r="E157" s="1" t="s">
        <v>123</v>
      </c>
      <c r="F157" s="1"/>
      <c r="G157" s="1"/>
      <c r="J157" s="1" t="s">
        <v>9795</v>
      </c>
      <c r="K157" s="2" t="s">
        <v>7349</v>
      </c>
      <c r="L157" s="3" t="s">
        <v>8113</v>
      </c>
      <c r="P157" s="7" t="s">
        <v>1241</v>
      </c>
      <c r="Q157" s="13" t="str">
        <f>INDEX($L:$L, MATCH("arrange", $B:$B, 0))</f>
        <v>&lt;span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v>
      </c>
      <c r="AU157" s="15"/>
      <c r="AV157" s="1" t="s">
        <v>1502</v>
      </c>
      <c r="BG157" s="7" t="s">
        <v>1503</v>
      </c>
      <c r="BH157" s="1" t="s">
        <v>1504</v>
      </c>
      <c r="BI157" s="2" t="s">
        <v>7350</v>
      </c>
      <c r="BJ157" s="1" t="s">
        <v>1875</v>
      </c>
      <c r="BK157" s="2" t="s">
        <v>2463</v>
      </c>
      <c r="BM157" s="2"/>
    </row>
    <row r="158" spans="1:71" ht="144" x14ac:dyDescent="0.45">
      <c r="A158" s="5">
        <v>157</v>
      </c>
      <c r="B158" s="8" t="s">
        <v>124</v>
      </c>
      <c r="C158" s="6" t="s">
        <v>6851</v>
      </c>
      <c r="D158" s="7" t="s">
        <v>9794</v>
      </c>
      <c r="E158" s="1" t="s">
        <v>124</v>
      </c>
      <c r="F158" s="1"/>
      <c r="G158" s="1"/>
      <c r="J158" s="1" t="s">
        <v>9795</v>
      </c>
      <c r="K158" s="2" t="s">
        <v>7351</v>
      </c>
      <c r="L158" s="9" t="s">
        <v>8114</v>
      </c>
      <c r="P158" s="7" t="s">
        <v>1241</v>
      </c>
      <c r="AU158" s="15"/>
      <c r="AV158" s="1" t="s">
        <v>1502</v>
      </c>
      <c r="BG158" s="7" t="s">
        <v>1503</v>
      </c>
      <c r="BH158" s="1" t="s">
        <v>2458</v>
      </c>
      <c r="BI158" s="2" t="s">
        <v>7352</v>
      </c>
      <c r="BJ158" s="1" t="s">
        <v>2034</v>
      </c>
      <c r="BK158" s="2" t="s">
        <v>2464</v>
      </c>
      <c r="BL158" s="1" t="s">
        <v>1504</v>
      </c>
      <c r="BM158" s="2" t="s">
        <v>2465</v>
      </c>
      <c r="BN158" s="1" t="s">
        <v>1875</v>
      </c>
      <c r="BO158" s="2" t="s">
        <v>2466</v>
      </c>
      <c r="BP158" s="1" t="s">
        <v>1865</v>
      </c>
      <c r="BQ158" s="2" t="s">
        <v>2467</v>
      </c>
    </row>
    <row r="159" spans="1:71" ht="198" x14ac:dyDescent="0.45">
      <c r="A159" s="5">
        <v>158</v>
      </c>
      <c r="B159" s="8" t="s">
        <v>125</v>
      </c>
      <c r="C159" s="6" t="s">
        <v>6851</v>
      </c>
      <c r="D159" s="7" t="s">
        <v>9794</v>
      </c>
      <c r="E159" s="1" t="s">
        <v>1353</v>
      </c>
      <c r="F159" s="1" t="s">
        <v>1931</v>
      </c>
      <c r="G159" s="1" t="s">
        <v>1748</v>
      </c>
      <c r="J159" s="1" t="s">
        <v>9795</v>
      </c>
      <c r="K159" s="2" t="s">
        <v>7353</v>
      </c>
      <c r="L159" s="4" t="s">
        <v>8115</v>
      </c>
      <c r="M159" s="1" t="s">
        <v>12202</v>
      </c>
      <c r="P159" s="7" t="s">
        <v>1241</v>
      </c>
      <c r="Q159" s="14"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159"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S159" s="14"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T159" s="14"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U159" s="15"/>
      <c r="AU159" s="15"/>
      <c r="AV159" s="1" t="s">
        <v>1502</v>
      </c>
      <c r="BG159" s="7" t="s">
        <v>1503</v>
      </c>
      <c r="BH159" s="1" t="s">
        <v>2034</v>
      </c>
      <c r="BI159" s="2" t="s">
        <v>2468</v>
      </c>
      <c r="BJ159" s="1" t="s">
        <v>3659</v>
      </c>
      <c r="BK159" s="1" t="s">
        <v>2469</v>
      </c>
      <c r="BL159" s="1" t="s">
        <v>1504</v>
      </c>
      <c r="BM159" s="2" t="s">
        <v>7354</v>
      </c>
      <c r="BN159" s="1" t="s">
        <v>2044</v>
      </c>
      <c r="BO159" s="2" t="s">
        <v>2477</v>
      </c>
      <c r="BP159" s="1" t="s">
        <v>1865</v>
      </c>
      <c r="BQ159" s="2" t="s">
        <v>2478</v>
      </c>
    </row>
    <row r="160" spans="1:71" ht="72" x14ac:dyDescent="0.45">
      <c r="A160" s="5">
        <v>159</v>
      </c>
      <c r="B160" s="8" t="s">
        <v>126</v>
      </c>
      <c r="C160" s="6" t="s">
        <v>6851</v>
      </c>
      <c r="D160" s="7" t="s">
        <v>9794</v>
      </c>
      <c r="E160" s="1" t="s">
        <v>126</v>
      </c>
      <c r="F160" s="1"/>
      <c r="G160" s="1"/>
      <c r="J160" s="1" t="s">
        <v>9795</v>
      </c>
      <c r="K160" s="2" t="s">
        <v>7355</v>
      </c>
      <c r="L160" s="9" t="s">
        <v>8116</v>
      </c>
      <c r="P160" s="7" t="s">
        <v>1241</v>
      </c>
      <c r="AU160" s="15"/>
      <c r="AV160" s="1" t="s">
        <v>1502</v>
      </c>
      <c r="BG160" s="7" t="s">
        <v>1503</v>
      </c>
      <c r="BH160" s="1" t="s">
        <v>2458</v>
      </c>
      <c r="BI160" s="2" t="s">
        <v>2470</v>
      </c>
      <c r="BJ160" s="1" t="s">
        <v>2471</v>
      </c>
      <c r="BK160" s="1" t="s">
        <v>2472</v>
      </c>
      <c r="BL160" s="1" t="s">
        <v>1865</v>
      </c>
      <c r="BM160" s="2" t="s">
        <v>2485</v>
      </c>
    </row>
    <row r="161" spans="1:69" ht="72" x14ac:dyDescent="0.45">
      <c r="A161" s="5">
        <v>160</v>
      </c>
      <c r="B161" s="8" t="s">
        <v>1358</v>
      </c>
      <c r="C161" s="6" t="s">
        <v>6851</v>
      </c>
      <c r="D161" s="7" t="s">
        <v>9794</v>
      </c>
      <c r="E161" s="1" t="s">
        <v>1354</v>
      </c>
      <c r="F161" s="1"/>
      <c r="G161" s="1"/>
      <c r="J161" s="1" t="s">
        <v>9795</v>
      </c>
      <c r="K161" s="2" t="s">
        <v>7356</v>
      </c>
      <c r="L161" s="9" t="s">
        <v>8117</v>
      </c>
      <c r="P161" s="7" t="s">
        <v>1241</v>
      </c>
      <c r="AU161" s="15"/>
      <c r="AV161" s="1" t="s">
        <v>1502</v>
      </c>
      <c r="BG161" s="7" t="s">
        <v>1503</v>
      </c>
      <c r="BH161" s="1" t="s">
        <v>2034</v>
      </c>
      <c r="BI161" s="2" t="s">
        <v>2473</v>
      </c>
      <c r="BJ161" s="1" t="s">
        <v>1504</v>
      </c>
      <c r="BK161" s="2" t="s">
        <v>2474</v>
      </c>
      <c r="BL161" s="1" t="s">
        <v>2044</v>
      </c>
      <c r="BM161" s="2" t="s">
        <v>2475</v>
      </c>
    </row>
    <row r="162" spans="1:69" ht="144" x14ac:dyDescent="0.45">
      <c r="A162" s="5">
        <v>161</v>
      </c>
      <c r="B162" s="8" t="s">
        <v>127</v>
      </c>
      <c r="C162" s="6" t="s">
        <v>6851</v>
      </c>
      <c r="D162" s="7" t="s">
        <v>9794</v>
      </c>
      <c r="E162" s="1" t="s">
        <v>29</v>
      </c>
      <c r="F162" s="1" t="s">
        <v>1355</v>
      </c>
      <c r="G162" s="1"/>
      <c r="J162" s="1" t="s">
        <v>9795</v>
      </c>
      <c r="K162" s="2" t="s">
        <v>7357</v>
      </c>
      <c r="L162" s="9" t="s">
        <v>8118</v>
      </c>
      <c r="P162" s="7" t="s">
        <v>1241</v>
      </c>
      <c r="AU162" s="15"/>
      <c r="AV162" s="1" t="s">
        <v>1502</v>
      </c>
      <c r="BG162" s="7" t="s">
        <v>1503</v>
      </c>
      <c r="BH162" s="1" t="s">
        <v>2034</v>
      </c>
      <c r="BI162" s="2" t="s">
        <v>2486</v>
      </c>
      <c r="BJ162" s="1" t="s">
        <v>1865</v>
      </c>
      <c r="BK162" s="2" t="s">
        <v>2487</v>
      </c>
    </row>
    <row r="163" spans="1:69" ht="162" x14ac:dyDescent="0.45">
      <c r="A163" s="5">
        <v>162</v>
      </c>
      <c r="B163" s="8" t="s">
        <v>128</v>
      </c>
      <c r="C163" s="6" t="s">
        <v>6851</v>
      </c>
      <c r="D163" s="7" t="s">
        <v>9794</v>
      </c>
      <c r="E163" s="1" t="s">
        <v>8933</v>
      </c>
      <c r="F163" s="1" t="s">
        <v>1566</v>
      </c>
      <c r="G163" s="1"/>
      <c r="J163" s="1" t="s">
        <v>9795</v>
      </c>
      <c r="K163" s="2" t="s">
        <v>7358</v>
      </c>
      <c r="L163" s="9" t="s">
        <v>8119</v>
      </c>
      <c r="P163" s="7" t="s">
        <v>1241</v>
      </c>
      <c r="AU163" s="15"/>
      <c r="AV163" s="1" t="s">
        <v>1502</v>
      </c>
      <c r="BG163" s="7" t="s">
        <v>1503</v>
      </c>
      <c r="BH163" s="1" t="s">
        <v>2458</v>
      </c>
      <c r="BI163" s="2" t="s">
        <v>2488</v>
      </c>
      <c r="BJ163" s="1" t="s">
        <v>2034</v>
      </c>
      <c r="BK163" s="2" t="s">
        <v>2489</v>
      </c>
      <c r="BL163" s="1" t="s">
        <v>2044</v>
      </c>
      <c r="BM163" s="2" t="s">
        <v>2490</v>
      </c>
      <c r="BN163" s="1" t="s">
        <v>1865</v>
      </c>
      <c r="BO163" s="2" t="s">
        <v>2491</v>
      </c>
    </row>
    <row r="164" spans="1:69" ht="270" x14ac:dyDescent="0.45">
      <c r="A164" s="5">
        <v>163</v>
      </c>
      <c r="B164" s="8" t="s">
        <v>1359</v>
      </c>
      <c r="C164" s="6" t="s">
        <v>6851</v>
      </c>
      <c r="D164" s="7" t="s">
        <v>9794</v>
      </c>
      <c r="E164" s="1" t="s">
        <v>1251</v>
      </c>
      <c r="F164" s="1" t="s">
        <v>8934</v>
      </c>
      <c r="G164" s="1" t="s">
        <v>8935</v>
      </c>
      <c r="J164" s="1" t="s">
        <v>9795</v>
      </c>
      <c r="K164" s="2" t="s">
        <v>7359</v>
      </c>
      <c r="L164" s="4" t="s">
        <v>8120</v>
      </c>
      <c r="M164" s="1" t="s">
        <v>12194</v>
      </c>
      <c r="P164" s="7" t="s">
        <v>1241</v>
      </c>
      <c r="Q164" s="14"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64" s="14"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S164" s="14"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T164" s="14"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164" s="13"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AU164" s="15"/>
      <c r="AV164" s="1" t="s">
        <v>1502</v>
      </c>
      <c r="BG164" s="7" t="s">
        <v>1503</v>
      </c>
      <c r="BH164" s="1" t="s">
        <v>2034</v>
      </c>
      <c r="BI164" s="2" t="s">
        <v>7360</v>
      </c>
      <c r="BJ164" s="1" t="s">
        <v>1504</v>
      </c>
      <c r="BK164" s="2" t="s">
        <v>2492</v>
      </c>
      <c r="BL164" s="1" t="s">
        <v>1865</v>
      </c>
      <c r="BM164" s="2" t="s">
        <v>2493</v>
      </c>
    </row>
    <row r="165" spans="1:69" ht="270" x14ac:dyDescent="0.45">
      <c r="A165" s="5">
        <v>164</v>
      </c>
      <c r="B165" s="8" t="s">
        <v>1360</v>
      </c>
      <c r="C165" s="6" t="s">
        <v>6851</v>
      </c>
      <c r="D165" s="7" t="s">
        <v>9794</v>
      </c>
      <c r="E165" s="1" t="s">
        <v>8936</v>
      </c>
      <c r="F165" s="1" t="s">
        <v>1584</v>
      </c>
      <c r="G165" s="1"/>
      <c r="J165" s="1" t="s">
        <v>9795</v>
      </c>
      <c r="K165" s="2" t="s">
        <v>7361</v>
      </c>
      <c r="L165" s="3" t="s">
        <v>8121</v>
      </c>
      <c r="M165" s="1" t="s">
        <v>12194</v>
      </c>
      <c r="P165" s="7" t="s">
        <v>1241</v>
      </c>
      <c r="Q165" s="14"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65" s="14"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S165" s="14"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T165" s="14"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165" s="13"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AU165" s="15"/>
      <c r="AV165" s="1" t="s">
        <v>1502</v>
      </c>
      <c r="BG165" s="7" t="s">
        <v>1503</v>
      </c>
      <c r="BH165" s="1" t="s">
        <v>2034</v>
      </c>
      <c r="BI165" s="2" t="s">
        <v>7362</v>
      </c>
      <c r="BJ165" s="1" t="s">
        <v>1504</v>
      </c>
      <c r="BK165" s="2" t="s">
        <v>2494</v>
      </c>
      <c r="BL165" s="1" t="s">
        <v>2321</v>
      </c>
      <c r="BM165" s="1" t="s">
        <v>2495</v>
      </c>
      <c r="BN165" s="1" t="s">
        <v>2044</v>
      </c>
      <c r="BO165" s="2" t="s">
        <v>2496</v>
      </c>
      <c r="BQ165" s="2"/>
    </row>
    <row r="166" spans="1:69" ht="252" x14ac:dyDescent="0.45">
      <c r="A166" s="5">
        <v>165</v>
      </c>
      <c r="B166" s="8" t="s">
        <v>1361</v>
      </c>
      <c r="C166" s="6" t="s">
        <v>6851</v>
      </c>
      <c r="D166" s="7" t="s">
        <v>9794</v>
      </c>
      <c r="E166" s="1" t="s">
        <v>129</v>
      </c>
      <c r="F166" s="1"/>
      <c r="G166" s="1"/>
      <c r="J166" s="1" t="s">
        <v>9795</v>
      </c>
      <c r="K166" s="2" t="s">
        <v>7363</v>
      </c>
      <c r="L166" s="4" t="s">
        <v>8122</v>
      </c>
      <c r="P166" s="7" t="s">
        <v>1241</v>
      </c>
      <c r="Q166" s="14"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R166" s="15"/>
      <c r="S166" s="15"/>
      <c r="T166" s="15"/>
      <c r="U166" s="15"/>
      <c r="V166" s="15"/>
      <c r="W166" s="15"/>
      <c r="X166" s="15"/>
      <c r="AV166" s="1" t="s">
        <v>1502</v>
      </c>
      <c r="BG166" s="7" t="s">
        <v>1503</v>
      </c>
      <c r="BH166" s="1" t="s">
        <v>1976</v>
      </c>
      <c r="BI166" s="1" t="s">
        <v>7364</v>
      </c>
      <c r="BJ166" s="1" t="s">
        <v>2034</v>
      </c>
      <c r="BK166" s="2" t="s">
        <v>2497</v>
      </c>
      <c r="BL166" s="1" t="s">
        <v>1504</v>
      </c>
      <c r="BM166" s="2" t="s">
        <v>2498</v>
      </c>
      <c r="BN166" s="1" t="s">
        <v>2044</v>
      </c>
      <c r="BO166" s="2" t="s">
        <v>2499</v>
      </c>
    </row>
    <row r="167" spans="1:69" ht="144" x14ac:dyDescent="0.45">
      <c r="A167" s="5">
        <v>166</v>
      </c>
      <c r="B167" s="8" t="s">
        <v>130</v>
      </c>
      <c r="C167" s="6" t="s">
        <v>6851</v>
      </c>
      <c r="D167" s="7" t="s">
        <v>9794</v>
      </c>
      <c r="E167" s="1" t="s">
        <v>1327</v>
      </c>
      <c r="F167" s="1" t="s">
        <v>1356</v>
      </c>
      <c r="G167" s="1"/>
      <c r="J167" s="1" t="s">
        <v>9795</v>
      </c>
      <c r="K167" s="2" t="s">
        <v>7365</v>
      </c>
      <c r="L167" s="9" t="s">
        <v>8123</v>
      </c>
      <c r="M167" s="1" t="s">
        <v>12222</v>
      </c>
      <c r="P167" s="7" t="s">
        <v>1241</v>
      </c>
      <c r="Q167" s="13" t="str">
        <f>INDEX($L:$L, MATCH("retail", $B:$B, 0))</f>
        <v>&lt;span class="w"&gt;&lt;b&gt;【1154.retail：小売り】&lt;/b&gt;&lt;/span&gt;
&lt;span class="ml"&gt;古フランス語に由来する語で、以下の2つの要素から成る。
&lt;span class="spacer"&gt;&lt;/span&gt;re（再び）
taillier（切る, 整える）
&lt;span class="spacer"&gt;&lt;/span&gt;このまま日本語にすると「再び切る」となる。大きなものを繰り返し切って細かくすることから、まとまった商品を切り分けて売る「小売り」という意味になった。
&lt;div class="sample_image retail"&gt;&lt;/div&gt;&lt;/span&gt;</v>
      </c>
      <c r="AU167" s="15"/>
      <c r="AV167" s="1" t="s">
        <v>1502</v>
      </c>
      <c r="BG167" s="7" t="s">
        <v>1503</v>
      </c>
      <c r="BH167" s="1" t="s">
        <v>1504</v>
      </c>
      <c r="BI167" s="2" t="s">
        <v>2500</v>
      </c>
      <c r="BJ167" s="1" t="s">
        <v>2017</v>
      </c>
      <c r="BK167" s="1" t="s">
        <v>2501</v>
      </c>
      <c r="BL167" s="1" t="s">
        <v>1865</v>
      </c>
      <c r="BM167" s="2" t="s">
        <v>2502</v>
      </c>
    </row>
    <row r="168" spans="1:69" ht="108" x14ac:dyDescent="0.45">
      <c r="A168" s="5">
        <v>167</v>
      </c>
      <c r="B168" s="8" t="s">
        <v>1524</v>
      </c>
      <c r="C168" s="6" t="s">
        <v>6851</v>
      </c>
      <c r="D168" s="7" t="s">
        <v>9794</v>
      </c>
      <c r="E168" s="1" t="s">
        <v>4610</v>
      </c>
      <c r="F168" s="1" t="s">
        <v>1525</v>
      </c>
      <c r="G168" s="1"/>
      <c r="J168" s="1" t="s">
        <v>9795</v>
      </c>
      <c r="K168" s="2" t="s">
        <v>7366</v>
      </c>
      <c r="L168" s="9" t="s">
        <v>8124</v>
      </c>
      <c r="P168" s="7" t="s">
        <v>1241</v>
      </c>
      <c r="Q168" s="13"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R168" s="13"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S168" s="13"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U168" s="15"/>
      <c r="AV168" s="1" t="s">
        <v>1502</v>
      </c>
      <c r="BG168" s="7" t="s">
        <v>1503</v>
      </c>
      <c r="BH168" s="1" t="s">
        <v>2034</v>
      </c>
      <c r="BI168" s="2" t="s">
        <v>7367</v>
      </c>
      <c r="BJ168" s="1" t="s">
        <v>1504</v>
      </c>
      <c r="BK168" s="2" t="s">
        <v>2503</v>
      </c>
      <c r="BL168" s="1" t="s">
        <v>2321</v>
      </c>
      <c r="BM168" s="2" t="s">
        <v>2504</v>
      </c>
      <c r="BN168" s="1" t="s">
        <v>2044</v>
      </c>
      <c r="BO168" s="2" t="s">
        <v>7368</v>
      </c>
      <c r="BP168" s="1" t="s">
        <v>1865</v>
      </c>
      <c r="BQ168" s="2" t="s">
        <v>2505</v>
      </c>
    </row>
    <row r="169" spans="1:69" ht="180" x14ac:dyDescent="0.45">
      <c r="A169" s="5">
        <v>168</v>
      </c>
      <c r="B169" s="8" t="s">
        <v>131</v>
      </c>
      <c r="C169" s="6" t="s">
        <v>6851</v>
      </c>
      <c r="D169" s="7" t="s">
        <v>9794</v>
      </c>
      <c r="E169" s="1" t="s">
        <v>8937</v>
      </c>
      <c r="F169" s="1" t="s">
        <v>1580</v>
      </c>
      <c r="G169" s="1"/>
      <c r="J169" s="1" t="s">
        <v>9795</v>
      </c>
      <c r="K169" s="2" t="s">
        <v>7369</v>
      </c>
      <c r="L169" s="2" t="s">
        <v>8125</v>
      </c>
      <c r="P169" s="7" t="s">
        <v>1241</v>
      </c>
      <c r="AU169" s="15"/>
      <c r="AV169" s="1" t="s">
        <v>1502</v>
      </c>
      <c r="BG169" s="7" t="s">
        <v>1503</v>
      </c>
      <c r="BH169" s="1" t="s">
        <v>2034</v>
      </c>
      <c r="BI169" s="2" t="s">
        <v>7370</v>
      </c>
      <c r="BJ169" s="1" t="s">
        <v>2017</v>
      </c>
      <c r="BK169" s="1" t="s">
        <v>2506</v>
      </c>
      <c r="BL169" s="1" t="s">
        <v>1865</v>
      </c>
      <c r="BM169" s="2" t="s">
        <v>2507</v>
      </c>
    </row>
    <row r="170" spans="1:69" ht="409.6" x14ac:dyDescent="0.45">
      <c r="A170" s="5">
        <v>169</v>
      </c>
      <c r="B170" s="8" t="s">
        <v>132</v>
      </c>
      <c r="C170" s="6" t="s">
        <v>6851</v>
      </c>
      <c r="D170" s="7" t="s">
        <v>9794</v>
      </c>
      <c r="E170" s="1" t="s">
        <v>1346</v>
      </c>
      <c r="F170" s="1" t="s">
        <v>1357</v>
      </c>
      <c r="G170" s="1"/>
      <c r="J170" s="1" t="s">
        <v>9795</v>
      </c>
      <c r="K170" s="2" t="s">
        <v>7371</v>
      </c>
      <c r="L170" s="4" t="s">
        <v>8126</v>
      </c>
      <c r="M170" s="1" t="s">
        <v>12223</v>
      </c>
      <c r="P170" s="7" t="s">
        <v>1241</v>
      </c>
      <c r="Q170" s="14"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70" s="1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70" s="1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70" s="1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170" s="1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V170" s="1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170" s="1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70" s="1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170" s="1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70"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A170" s="15"/>
      <c r="AB170" s="15"/>
      <c r="AU170" s="15"/>
      <c r="AV170" s="1" t="s">
        <v>1502</v>
      </c>
      <c r="BG170" s="7" t="s">
        <v>1503</v>
      </c>
      <c r="BH170" s="1" t="s">
        <v>2034</v>
      </c>
      <c r="BI170" s="2" t="s">
        <v>7372</v>
      </c>
      <c r="BJ170" s="1" t="s">
        <v>1504</v>
      </c>
      <c r="BK170" s="2" t="s">
        <v>2508</v>
      </c>
      <c r="BL170" s="1" t="s">
        <v>2044</v>
      </c>
      <c r="BM170" s="2" t="s">
        <v>7373</v>
      </c>
      <c r="BN170" s="1" t="s">
        <v>1865</v>
      </c>
      <c r="BO170" s="2" t="s">
        <v>2509</v>
      </c>
    </row>
    <row r="171" spans="1:69" ht="144" x14ac:dyDescent="0.45">
      <c r="A171" s="5">
        <v>170</v>
      </c>
      <c r="B171" s="8" t="s">
        <v>133</v>
      </c>
      <c r="C171" s="6" t="s">
        <v>6851</v>
      </c>
      <c r="D171" s="7" t="s">
        <v>9794</v>
      </c>
      <c r="E171" s="1" t="s">
        <v>133</v>
      </c>
      <c r="F171" s="1"/>
      <c r="G171" s="1"/>
      <c r="J171" s="1" t="s">
        <v>9795</v>
      </c>
      <c r="K171" s="2" t="s">
        <v>7374</v>
      </c>
      <c r="L171" s="9" t="s">
        <v>8127</v>
      </c>
      <c r="P171" s="7" t="s">
        <v>1241</v>
      </c>
      <c r="T171" s="15"/>
      <c r="W171" s="15"/>
      <c r="AU171" s="15"/>
      <c r="AV171" s="1" t="s">
        <v>1502</v>
      </c>
      <c r="BG171" s="7" t="s">
        <v>1503</v>
      </c>
      <c r="BH171" s="1" t="s">
        <v>2034</v>
      </c>
      <c r="BI171" s="2" t="s">
        <v>2510</v>
      </c>
      <c r="BJ171" s="1" t="s">
        <v>2044</v>
      </c>
      <c r="BK171" s="2" t="s">
        <v>2511</v>
      </c>
      <c r="BL171" s="1" t="s">
        <v>1865</v>
      </c>
      <c r="BM171" s="2" t="s">
        <v>2512</v>
      </c>
    </row>
    <row r="172" spans="1:69" ht="108" x14ac:dyDescent="0.45">
      <c r="A172" s="5">
        <v>171</v>
      </c>
      <c r="B172" s="8" t="s">
        <v>1130</v>
      </c>
      <c r="C172" s="6" t="s">
        <v>6851</v>
      </c>
      <c r="D172" s="7" t="s">
        <v>9794</v>
      </c>
      <c r="E172" s="1" t="s">
        <v>27</v>
      </c>
      <c r="F172" s="1" t="s">
        <v>1362</v>
      </c>
      <c r="G172" s="1"/>
      <c r="J172" s="1" t="s">
        <v>9795</v>
      </c>
      <c r="K172" s="2" t="s">
        <v>7375</v>
      </c>
      <c r="L172" s="9" t="s">
        <v>8128</v>
      </c>
      <c r="P172" s="7" t="s">
        <v>1241</v>
      </c>
      <c r="Q172" s="13"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R172" s="13"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AU172" s="15"/>
      <c r="AV172" s="1" t="s">
        <v>1502</v>
      </c>
      <c r="BG172" s="7" t="s">
        <v>1503</v>
      </c>
      <c r="BH172" s="1" t="s">
        <v>1872</v>
      </c>
      <c r="BI172" s="2" t="s">
        <v>2513</v>
      </c>
      <c r="BJ172" s="1" t="s">
        <v>2044</v>
      </c>
      <c r="BK172" s="2" t="s">
        <v>2514</v>
      </c>
      <c r="BL172" s="1" t="s">
        <v>1865</v>
      </c>
      <c r="BM172" s="2" t="s">
        <v>2515</v>
      </c>
    </row>
    <row r="173" spans="1:69" ht="162" x14ac:dyDescent="0.45">
      <c r="A173" s="5">
        <v>172</v>
      </c>
      <c r="B173" s="8" t="s">
        <v>1567</v>
      </c>
      <c r="C173" s="6" t="s">
        <v>6851</v>
      </c>
      <c r="D173" s="7" t="s">
        <v>9794</v>
      </c>
      <c r="E173" s="1" t="s">
        <v>8938</v>
      </c>
      <c r="F173" s="1" t="s">
        <v>1568</v>
      </c>
      <c r="G173" s="1"/>
      <c r="J173" s="1" t="s">
        <v>9795</v>
      </c>
      <c r="K173" s="2" t="s">
        <v>1363</v>
      </c>
      <c r="L173" s="3" t="s">
        <v>8129</v>
      </c>
      <c r="P173" s="7" t="s">
        <v>1241</v>
      </c>
      <c r="Q173" s="22" t="str">
        <f>INDEX($L:$L, MATCH("adapt", $B:$B, 0))</f>
        <v>&lt;span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v>
      </c>
      <c r="R173" s="15"/>
      <c r="AU173" s="15"/>
      <c r="AV173" s="1" t="s">
        <v>1502</v>
      </c>
      <c r="BG173" s="7" t="s">
        <v>1503</v>
      </c>
      <c r="BH173" s="1" t="s">
        <v>2034</v>
      </c>
      <c r="BI173" s="2" t="s">
        <v>2516</v>
      </c>
      <c r="BJ173" s="1" t="s">
        <v>2147</v>
      </c>
      <c r="BK173" s="2" t="s">
        <v>2517</v>
      </c>
      <c r="BL173" s="1" t="s">
        <v>1994</v>
      </c>
      <c r="BM173" s="1" t="s">
        <v>2518</v>
      </c>
      <c r="BN173" s="1" t="s">
        <v>2519</v>
      </c>
      <c r="BO173" s="2" t="s">
        <v>2520</v>
      </c>
      <c r="BP173" s="1" t="s">
        <v>1865</v>
      </c>
      <c r="BQ173" s="2" t="s">
        <v>2521</v>
      </c>
    </row>
    <row r="174" spans="1:69" ht="90" x14ac:dyDescent="0.45">
      <c r="A174" s="5">
        <v>173</v>
      </c>
      <c r="B174" s="8" t="s">
        <v>1364</v>
      </c>
      <c r="C174" s="6" t="s">
        <v>6851</v>
      </c>
      <c r="D174" s="7" t="s">
        <v>9794</v>
      </c>
      <c r="E174" s="1" t="s">
        <v>134</v>
      </c>
      <c r="F174" s="1"/>
      <c r="G174" s="1"/>
      <c r="J174" s="1" t="s">
        <v>9795</v>
      </c>
      <c r="K174" s="2" t="s">
        <v>7376</v>
      </c>
      <c r="L174" s="4" t="s">
        <v>8130</v>
      </c>
      <c r="P174" s="7" t="s">
        <v>1241</v>
      </c>
      <c r="AU174" s="15"/>
      <c r="AV174" s="1" t="s">
        <v>1502</v>
      </c>
      <c r="BG174" s="7" t="s">
        <v>1503</v>
      </c>
      <c r="BH174" s="1" t="s">
        <v>2034</v>
      </c>
      <c r="BI174" s="2" t="s">
        <v>7377</v>
      </c>
      <c r="BJ174" s="1" t="s">
        <v>1504</v>
      </c>
      <c r="BK174" s="2" t="s">
        <v>2522</v>
      </c>
      <c r="BL174" s="1" t="s">
        <v>2321</v>
      </c>
      <c r="BM174" s="2" t="s">
        <v>2522</v>
      </c>
      <c r="BN174" s="1" t="s">
        <v>2044</v>
      </c>
      <c r="BO174" s="2" t="s">
        <v>2523</v>
      </c>
    </row>
    <row r="175" spans="1:69" ht="409.6" x14ac:dyDescent="0.45">
      <c r="A175" s="5">
        <v>174</v>
      </c>
      <c r="B175" s="8" t="s">
        <v>1365</v>
      </c>
      <c r="C175" s="6" t="s">
        <v>6851</v>
      </c>
      <c r="D175" s="7" t="s">
        <v>9794</v>
      </c>
      <c r="E175" s="1" t="s">
        <v>1621</v>
      </c>
      <c r="F175" s="1" t="s">
        <v>4769</v>
      </c>
      <c r="G175" s="1"/>
      <c r="J175" s="1" t="s">
        <v>9795</v>
      </c>
      <c r="K175" s="2" t="s">
        <v>7378</v>
      </c>
      <c r="L175" s="3" t="s">
        <v>8131</v>
      </c>
      <c r="M175" s="1" t="s">
        <v>12189</v>
      </c>
      <c r="P175" s="7" t="s">
        <v>1241</v>
      </c>
      <c r="Q175" s="1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175" s="1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S175" s="1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T175" s="1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U175" s="1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V175" s="1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175" s="1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175" s="1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175" s="1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75" s="1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175" s="15"/>
      <c r="AV175" s="1" t="s">
        <v>1502</v>
      </c>
      <c r="BG175" s="7" t="s">
        <v>1503</v>
      </c>
      <c r="BH175" s="1" t="s">
        <v>2034</v>
      </c>
      <c r="BI175" s="2" t="s">
        <v>7379</v>
      </c>
      <c r="BJ175" s="1" t="s">
        <v>2044</v>
      </c>
      <c r="BK175" s="2" t="s">
        <v>2524</v>
      </c>
      <c r="BM175" s="2"/>
    </row>
    <row r="176" spans="1:69" ht="234" x14ac:dyDescent="0.45">
      <c r="A176" s="5">
        <v>175</v>
      </c>
      <c r="B176" s="8" t="s">
        <v>1366</v>
      </c>
      <c r="C176" s="6" t="s">
        <v>6851</v>
      </c>
      <c r="D176" s="7" t="s">
        <v>9794</v>
      </c>
      <c r="E176" s="1" t="s">
        <v>7747</v>
      </c>
      <c r="F176" s="1" t="s">
        <v>1525</v>
      </c>
      <c r="G176" s="1"/>
      <c r="J176" s="1" t="s">
        <v>9795</v>
      </c>
      <c r="K176" s="2" t="s">
        <v>7380</v>
      </c>
      <c r="L176" s="3" t="s">
        <v>8132</v>
      </c>
      <c r="M176" s="1" t="s">
        <v>12216</v>
      </c>
      <c r="P176" s="7" t="s">
        <v>1241</v>
      </c>
      <c r="Q176"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R176" s="1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S176" s="14"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T176" s="14"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176"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V176"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176" s="15"/>
      <c r="AV176" s="1" t="s">
        <v>1502</v>
      </c>
      <c r="BG176" s="7" t="s">
        <v>1503</v>
      </c>
      <c r="BH176" s="1" t="s">
        <v>2034</v>
      </c>
      <c r="BI176" s="2" t="s">
        <v>7381</v>
      </c>
      <c r="BJ176" s="1" t="s">
        <v>2044</v>
      </c>
      <c r="BK176" s="2" t="s">
        <v>2525</v>
      </c>
      <c r="BL176" s="1" t="s">
        <v>1865</v>
      </c>
      <c r="BM176" s="2" t="s">
        <v>2526</v>
      </c>
    </row>
    <row r="177" spans="1:69" ht="234" x14ac:dyDescent="0.45">
      <c r="A177" s="5">
        <v>176</v>
      </c>
      <c r="B177" s="8" t="s">
        <v>135</v>
      </c>
      <c r="C177" s="6" t="s">
        <v>6851</v>
      </c>
      <c r="D177" s="7" t="s">
        <v>9794</v>
      </c>
      <c r="E177" s="1" t="s">
        <v>135</v>
      </c>
      <c r="F177" s="1"/>
      <c r="G177" s="1"/>
      <c r="J177" s="1" t="s">
        <v>9795</v>
      </c>
      <c r="K177" s="2" t="s">
        <v>7382</v>
      </c>
      <c r="L177" s="9" t="s">
        <v>8133</v>
      </c>
      <c r="M177" s="1" t="s">
        <v>12224</v>
      </c>
      <c r="P177" s="7" t="s">
        <v>1241</v>
      </c>
      <c r="Q177" s="1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R177" s="1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S177" s="13"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T177" s="13"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AU177" s="15"/>
      <c r="AV177" s="1" t="s">
        <v>1502</v>
      </c>
      <c r="BG177" s="7" t="s">
        <v>1503</v>
      </c>
      <c r="BH177" s="1" t="s">
        <v>2034</v>
      </c>
      <c r="BI177" s="2" t="s">
        <v>7383</v>
      </c>
      <c r="BJ177" s="1" t="s">
        <v>1504</v>
      </c>
      <c r="BK177" s="2" t="s">
        <v>2527</v>
      </c>
      <c r="BL177" s="1" t="s">
        <v>2044</v>
      </c>
      <c r="BM177" s="2" t="s">
        <v>2528</v>
      </c>
    </row>
    <row r="178" spans="1:69" ht="72" x14ac:dyDescent="0.45">
      <c r="A178" s="5">
        <v>177</v>
      </c>
      <c r="B178" s="8" t="s">
        <v>1367</v>
      </c>
      <c r="C178" s="6" t="s">
        <v>6851</v>
      </c>
      <c r="D178" s="7" t="s">
        <v>9794</v>
      </c>
      <c r="E178" s="1" t="s">
        <v>136</v>
      </c>
      <c r="F178" s="1"/>
      <c r="G178" s="1"/>
      <c r="J178" s="1" t="s">
        <v>9795</v>
      </c>
      <c r="K178" s="2" t="s">
        <v>7384</v>
      </c>
      <c r="L178" s="9" t="s">
        <v>8134</v>
      </c>
      <c r="P178" s="7" t="s">
        <v>1241</v>
      </c>
      <c r="AU178" s="15"/>
      <c r="AV178" s="1" t="s">
        <v>1502</v>
      </c>
      <c r="BG178" s="7" t="s">
        <v>1503</v>
      </c>
      <c r="BH178" s="1" t="s">
        <v>2529</v>
      </c>
      <c r="BI178" s="2" t="s">
        <v>2530</v>
      </c>
      <c r="BJ178" s="1" t="s">
        <v>2044</v>
      </c>
      <c r="BK178" s="2" t="s">
        <v>2531</v>
      </c>
      <c r="BL178" s="1" t="s">
        <v>1865</v>
      </c>
      <c r="BM178" s="2" t="s">
        <v>2532</v>
      </c>
    </row>
    <row r="179" spans="1:69" ht="126" x14ac:dyDescent="0.45">
      <c r="A179" s="5">
        <v>178</v>
      </c>
      <c r="B179" s="8" t="s">
        <v>1368</v>
      </c>
      <c r="C179" s="6" t="s">
        <v>6851</v>
      </c>
      <c r="D179" s="7" t="s">
        <v>9794</v>
      </c>
      <c r="E179" s="1" t="s">
        <v>27</v>
      </c>
      <c r="F179" s="1" t="s">
        <v>8939</v>
      </c>
      <c r="G179" s="1"/>
      <c r="J179" s="1" t="s">
        <v>9795</v>
      </c>
      <c r="K179" s="2" t="s">
        <v>7385</v>
      </c>
      <c r="L179" s="4" t="s">
        <v>8135</v>
      </c>
      <c r="M179" s="1" t="s">
        <v>12225</v>
      </c>
      <c r="P179" s="7" t="s">
        <v>1241</v>
      </c>
      <c r="Q179"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179"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79"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179"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179"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179"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179"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179"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179"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179"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179"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179"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179"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179"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179"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179" s="15"/>
      <c r="AV179" s="1" t="s">
        <v>1502</v>
      </c>
      <c r="BG179" s="7" t="s">
        <v>1503</v>
      </c>
      <c r="BH179" s="1" t="s">
        <v>2034</v>
      </c>
      <c r="BI179" s="2" t="s">
        <v>2533</v>
      </c>
      <c r="BJ179" s="1" t="s">
        <v>1980</v>
      </c>
      <c r="BK179" s="2" t="s">
        <v>7386</v>
      </c>
      <c r="BL179" s="1" t="s">
        <v>1504</v>
      </c>
      <c r="BM179" s="2" t="s">
        <v>2534</v>
      </c>
      <c r="BN179" s="1" t="s">
        <v>2044</v>
      </c>
      <c r="BO179" s="2" t="s">
        <v>2535</v>
      </c>
      <c r="BP179" s="1" t="s">
        <v>1865</v>
      </c>
      <c r="BQ179" s="2" t="s">
        <v>2536</v>
      </c>
    </row>
    <row r="180" spans="1:69" ht="409.6" x14ac:dyDescent="0.45">
      <c r="A180" s="5">
        <v>179</v>
      </c>
      <c r="B180" s="8" t="s">
        <v>1369</v>
      </c>
      <c r="C180" s="6" t="s">
        <v>6852</v>
      </c>
      <c r="D180" s="7" t="s">
        <v>9794</v>
      </c>
      <c r="E180" s="1" t="s">
        <v>6473</v>
      </c>
      <c r="F180" s="1" t="s">
        <v>1528</v>
      </c>
      <c r="G180" s="1"/>
      <c r="J180" s="1" t="s">
        <v>9795</v>
      </c>
      <c r="K180" s="2" t="s">
        <v>7387</v>
      </c>
      <c r="L180" s="4" t="s">
        <v>8136</v>
      </c>
      <c r="M180" s="1" t="s">
        <v>12226</v>
      </c>
      <c r="P180" s="7" t="s">
        <v>1241</v>
      </c>
      <c r="Q180" s="1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80" s="14"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80" s="1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80" s="14"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80" s="14"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80" s="1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80" s="1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80" s="1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180" s="14"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180" s="1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180" s="1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180" s="1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80" s="14"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80" s="1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80" s="1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F180" s="15"/>
      <c r="AG180" s="15"/>
      <c r="AU180" s="15"/>
      <c r="AV180" s="1" t="s">
        <v>1502</v>
      </c>
      <c r="BG180" s="7" t="s">
        <v>1503</v>
      </c>
      <c r="BH180" s="1" t="s">
        <v>2034</v>
      </c>
      <c r="BI180" s="2" t="s">
        <v>7388</v>
      </c>
      <c r="BJ180" s="1" t="s">
        <v>1504</v>
      </c>
      <c r="BK180" s="2" t="s">
        <v>2537</v>
      </c>
      <c r="BL180" s="1" t="s">
        <v>2044</v>
      </c>
      <c r="BM180" s="2" t="s">
        <v>2538</v>
      </c>
      <c r="BN180" s="1" t="s">
        <v>1865</v>
      </c>
      <c r="BO180" s="2" t="s">
        <v>2539</v>
      </c>
    </row>
    <row r="181" spans="1:69" ht="126" x14ac:dyDescent="0.45">
      <c r="A181" s="5">
        <v>180</v>
      </c>
      <c r="B181" s="8" t="s">
        <v>137</v>
      </c>
      <c r="C181" s="6" t="s">
        <v>6852</v>
      </c>
      <c r="D181" s="7" t="s">
        <v>9794</v>
      </c>
      <c r="E181" s="1" t="s">
        <v>8940</v>
      </c>
      <c r="F181" s="1" t="s">
        <v>1528</v>
      </c>
      <c r="G181" s="1"/>
      <c r="J181" s="1" t="s">
        <v>9795</v>
      </c>
      <c r="K181" s="2" t="s">
        <v>7389</v>
      </c>
      <c r="L181" s="9" t="s">
        <v>8137</v>
      </c>
      <c r="P181" s="7" t="s">
        <v>1241</v>
      </c>
      <c r="Q181" s="13" t="str">
        <f>INDEX($L:$L, MATCH("deny", $B:$B, 0))</f>
        <v>&lt;span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v>
      </c>
      <c r="AU181" s="15"/>
      <c r="AV181" s="1" t="s">
        <v>1502</v>
      </c>
      <c r="BG181" s="7" t="s">
        <v>1503</v>
      </c>
      <c r="BH181" s="1" t="s">
        <v>2034</v>
      </c>
      <c r="BI181" s="2" t="s">
        <v>7390</v>
      </c>
      <c r="BJ181" s="1" t="s">
        <v>1504</v>
      </c>
      <c r="BK181" s="2" t="s">
        <v>2540</v>
      </c>
      <c r="BL181" s="1" t="s">
        <v>2321</v>
      </c>
      <c r="BM181" s="1" t="s">
        <v>2541</v>
      </c>
      <c r="BN181" s="1" t="s">
        <v>2044</v>
      </c>
      <c r="BO181" s="2" t="s">
        <v>2542</v>
      </c>
      <c r="BP181" s="1" t="s">
        <v>1865</v>
      </c>
      <c r="BQ181" s="2" t="s">
        <v>2543</v>
      </c>
    </row>
    <row r="182" spans="1:69" ht="324" x14ac:dyDescent="0.45">
      <c r="A182" s="5">
        <v>181</v>
      </c>
      <c r="B182" s="8" t="s">
        <v>1370</v>
      </c>
      <c r="C182" s="6" t="s">
        <v>6852</v>
      </c>
      <c r="D182" s="7" t="s">
        <v>9794</v>
      </c>
      <c r="E182" s="1" t="s">
        <v>1467</v>
      </c>
      <c r="F182" s="1" t="s">
        <v>8941</v>
      </c>
      <c r="G182" s="1"/>
      <c r="J182" s="1" t="s">
        <v>9795</v>
      </c>
      <c r="K182" s="2" t="s">
        <v>7391</v>
      </c>
      <c r="L182" s="3" t="s">
        <v>8138</v>
      </c>
      <c r="M182" s="1" t="s">
        <v>12209</v>
      </c>
      <c r="P182" s="7" t="s">
        <v>1241</v>
      </c>
      <c r="Q182" s="1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182" s="1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182" s="1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182"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U182" s="1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V182"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W182" s="14"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X182" s="15"/>
      <c r="Y182" s="15"/>
      <c r="Z182" s="15"/>
      <c r="AU182" s="15"/>
      <c r="AV182" s="1" t="s">
        <v>1502</v>
      </c>
      <c r="BG182" s="7" t="s">
        <v>1503</v>
      </c>
      <c r="BH182" s="1" t="s">
        <v>2034</v>
      </c>
      <c r="BI182" s="2" t="s">
        <v>7392</v>
      </c>
      <c r="BJ182" s="1" t="s">
        <v>2017</v>
      </c>
      <c r="BK182" s="2" t="s">
        <v>2544</v>
      </c>
      <c r="BL182" s="1" t="s">
        <v>1865</v>
      </c>
      <c r="BM182" s="2" t="s">
        <v>2545</v>
      </c>
    </row>
    <row r="183" spans="1:69" ht="234" x14ac:dyDescent="0.45">
      <c r="A183" s="5">
        <v>182</v>
      </c>
      <c r="B183" s="8" t="s">
        <v>1371</v>
      </c>
      <c r="C183" s="6" t="s">
        <v>6852</v>
      </c>
      <c r="D183" s="7" t="s">
        <v>9794</v>
      </c>
      <c r="E183" s="1" t="s">
        <v>8942</v>
      </c>
      <c r="F183" s="1"/>
      <c r="G183" s="1"/>
      <c r="J183" s="1" t="s">
        <v>9795</v>
      </c>
      <c r="K183" s="2" t="s">
        <v>7393</v>
      </c>
      <c r="L183" s="4" t="s">
        <v>8139</v>
      </c>
      <c r="M183" s="1" t="s">
        <v>12204</v>
      </c>
      <c r="P183" s="7" t="s">
        <v>1241</v>
      </c>
      <c r="Q183" s="14"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183" s="13"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S183" s="13"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AV183" s="1" t="s">
        <v>1502</v>
      </c>
      <c r="BG183" s="7" t="s">
        <v>1503</v>
      </c>
      <c r="BH183" s="1" t="s">
        <v>2034</v>
      </c>
      <c r="BI183" s="1" t="s">
        <v>2546</v>
      </c>
      <c r="BJ183" s="1" t="s">
        <v>1504</v>
      </c>
      <c r="BK183" s="2" t="s">
        <v>2547</v>
      </c>
      <c r="BL183" s="1" t="s">
        <v>2044</v>
      </c>
      <c r="BM183" s="2" t="s">
        <v>2548</v>
      </c>
      <c r="BN183" s="1" t="s">
        <v>2549</v>
      </c>
      <c r="BO183" s="2" t="s">
        <v>2550</v>
      </c>
    </row>
    <row r="184" spans="1:69" ht="288" x14ac:dyDescent="0.45">
      <c r="A184" s="5">
        <v>183</v>
      </c>
      <c r="B184" s="8" t="s">
        <v>1372</v>
      </c>
      <c r="C184" s="6" t="s">
        <v>6852</v>
      </c>
      <c r="D184" s="7" t="s">
        <v>9794</v>
      </c>
      <c r="E184" s="1" t="s">
        <v>1517</v>
      </c>
      <c r="F184" s="1" t="s">
        <v>49</v>
      </c>
      <c r="G184" s="1"/>
      <c r="J184" s="1" t="s">
        <v>9795</v>
      </c>
      <c r="K184" s="2" t="s">
        <v>7394</v>
      </c>
      <c r="L184" s="4" t="s">
        <v>8140</v>
      </c>
      <c r="M184" s="1" t="s">
        <v>12210</v>
      </c>
      <c r="P184" s="7" t="s">
        <v>1241</v>
      </c>
      <c r="Q184" s="14"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184" s="14"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S184"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T184" s="13"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184"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V184"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V184" s="1" t="s">
        <v>1502</v>
      </c>
      <c r="BG184" s="7" t="s">
        <v>1503</v>
      </c>
      <c r="BH184" s="1" t="s">
        <v>2034</v>
      </c>
      <c r="BI184" s="1" t="s">
        <v>2551</v>
      </c>
      <c r="BJ184" s="1" t="s">
        <v>2147</v>
      </c>
      <c r="BK184" s="2" t="s">
        <v>7395</v>
      </c>
      <c r="BL184" s="1" t="s">
        <v>2044</v>
      </c>
      <c r="BM184" s="2" t="s">
        <v>2552</v>
      </c>
    </row>
    <row r="185" spans="1:69" ht="180" x14ac:dyDescent="0.45">
      <c r="A185" s="5">
        <v>184</v>
      </c>
      <c r="B185" s="8" t="s">
        <v>138</v>
      </c>
      <c r="C185" s="6" t="s">
        <v>6852</v>
      </c>
      <c r="D185" s="7" t="s">
        <v>9794</v>
      </c>
      <c r="E185" s="1" t="s">
        <v>1373</v>
      </c>
      <c r="F185" s="1" t="s">
        <v>1374</v>
      </c>
      <c r="G185" s="1"/>
      <c r="J185" s="1" t="s">
        <v>9795</v>
      </c>
      <c r="K185" s="2" t="s">
        <v>7396</v>
      </c>
      <c r="L185" s="4" t="s">
        <v>8141</v>
      </c>
      <c r="M185" s="1" t="s">
        <v>12189</v>
      </c>
      <c r="P185" s="7" t="s">
        <v>1241</v>
      </c>
      <c r="Q185"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185"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185" s="13"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185" s="13"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185"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85"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W185"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X185"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185" s="13"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85"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185" s="15"/>
      <c r="AV185" s="1" t="s">
        <v>1502</v>
      </c>
      <c r="BG185" s="7" t="s">
        <v>1503</v>
      </c>
      <c r="BH185" s="1" t="s">
        <v>2034</v>
      </c>
      <c r="BI185" s="2" t="s">
        <v>2553</v>
      </c>
      <c r="BJ185" s="1" t="s">
        <v>2147</v>
      </c>
      <c r="BK185" s="2" t="s">
        <v>2554</v>
      </c>
      <c r="BL185" s="1" t="s">
        <v>2017</v>
      </c>
      <c r="BM185" s="2" t="s">
        <v>2555</v>
      </c>
      <c r="BN185" s="1" t="s">
        <v>2044</v>
      </c>
      <c r="BO185" s="2" t="s">
        <v>2556</v>
      </c>
      <c r="BP185" s="1" t="s">
        <v>1865</v>
      </c>
      <c r="BQ185" s="2" t="s">
        <v>7397</v>
      </c>
    </row>
    <row r="186" spans="1:69" ht="234" x14ac:dyDescent="0.45">
      <c r="A186" s="5">
        <v>185</v>
      </c>
      <c r="B186" s="8" t="s">
        <v>139</v>
      </c>
      <c r="C186" s="6" t="s">
        <v>6852</v>
      </c>
      <c r="D186" s="7" t="s">
        <v>9794</v>
      </c>
      <c r="E186" s="1" t="s">
        <v>1375</v>
      </c>
      <c r="F186" s="1" t="s">
        <v>1376</v>
      </c>
      <c r="G186" s="1"/>
      <c r="J186" s="1" t="s">
        <v>9795</v>
      </c>
      <c r="K186" s="2" t="s">
        <v>7398</v>
      </c>
      <c r="L186" s="3" t="s">
        <v>8142</v>
      </c>
      <c r="M186" s="1" t="s">
        <v>12175</v>
      </c>
      <c r="P186" s="7" t="s">
        <v>1241</v>
      </c>
      <c r="Q186" s="14"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86" s="14"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S186" s="14"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T186" s="13" t="str">
        <f>INDEX($L:$L, MATCH("designate", $B:$B, 0))</f>
        <v>&lt;span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v>
      </c>
      <c r="U186" s="13"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U186" s="15"/>
      <c r="AV186" s="1" t="s">
        <v>1502</v>
      </c>
      <c r="BG186" s="7" t="s">
        <v>1503</v>
      </c>
      <c r="BH186" s="1" t="s">
        <v>2034</v>
      </c>
      <c r="BI186" s="2" t="s">
        <v>2557</v>
      </c>
      <c r="BJ186" s="1" t="s">
        <v>2549</v>
      </c>
      <c r="BK186" s="2" t="s">
        <v>2558</v>
      </c>
      <c r="BM186" s="2"/>
    </row>
    <row r="187" spans="1:69" ht="234" x14ac:dyDescent="0.45">
      <c r="A187" s="5">
        <v>186</v>
      </c>
      <c r="B187" s="8" t="s">
        <v>1377</v>
      </c>
      <c r="C187" s="6" t="s">
        <v>6852</v>
      </c>
      <c r="D187" s="7" t="s">
        <v>9794</v>
      </c>
      <c r="E187" s="1" t="s">
        <v>8943</v>
      </c>
      <c r="F187" s="1" t="s">
        <v>1379</v>
      </c>
      <c r="G187" s="1"/>
      <c r="J187" s="1" t="s">
        <v>9795</v>
      </c>
      <c r="K187" s="2" t="s">
        <v>7399</v>
      </c>
      <c r="L187" s="4" t="s">
        <v>8143</v>
      </c>
      <c r="P187" s="7" t="s">
        <v>1241</v>
      </c>
      <c r="Q187" s="14" t="str">
        <f>INDEX($L:$L, MATCH("interest", $B:$B, 0))</f>
        <v>&lt;span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v>
      </c>
      <c r="R187" s="14" t="str">
        <f>INDEX($L:$L, MATCH("represent", $B:$B, 0))</f>
        <v>&lt;span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v>
      </c>
      <c r="S187" s="14" t="str">
        <f>INDEX($L:$L, MATCH("presence", $B:$B, 0))</f>
        <v>&lt;span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v>
      </c>
      <c r="AU187" s="15"/>
      <c r="AV187" s="1" t="s">
        <v>1502</v>
      </c>
      <c r="BG187" s="7" t="s">
        <v>1503</v>
      </c>
      <c r="BH187" s="1" t="s">
        <v>2034</v>
      </c>
      <c r="BI187" s="2" t="s">
        <v>2559</v>
      </c>
      <c r="BJ187" s="1" t="s">
        <v>2147</v>
      </c>
      <c r="BK187" s="2" t="s">
        <v>7400</v>
      </c>
      <c r="BL187" s="1" t="s">
        <v>2044</v>
      </c>
      <c r="BM187" s="2" t="s">
        <v>2560</v>
      </c>
    </row>
    <row r="188" spans="1:69" ht="216" x14ac:dyDescent="0.45">
      <c r="A188" s="5">
        <v>187</v>
      </c>
      <c r="B188" s="8" t="s">
        <v>140</v>
      </c>
      <c r="C188" s="6" t="s">
        <v>6852</v>
      </c>
      <c r="D188" s="7" t="s">
        <v>9794</v>
      </c>
      <c r="E188" s="1" t="s">
        <v>1378</v>
      </c>
      <c r="F188" s="1" t="s">
        <v>1379</v>
      </c>
      <c r="G188" s="1"/>
      <c r="J188" s="1" t="s">
        <v>9795</v>
      </c>
      <c r="K188" s="2" t="s">
        <v>7401</v>
      </c>
      <c r="L188" s="9" t="s">
        <v>8144</v>
      </c>
      <c r="P188" s="7" t="s">
        <v>1241</v>
      </c>
      <c r="Q188" s="13"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R188" s="13"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AU188" s="15"/>
      <c r="AV188" s="1" t="s">
        <v>1502</v>
      </c>
      <c r="BG188" s="7" t="s">
        <v>1503</v>
      </c>
      <c r="BH188" s="1" t="s">
        <v>2034</v>
      </c>
      <c r="BI188" s="2" t="s">
        <v>7402</v>
      </c>
      <c r="BJ188" s="1" t="s">
        <v>2147</v>
      </c>
      <c r="BK188" s="2" t="s">
        <v>2561</v>
      </c>
      <c r="BL188" s="1" t="s">
        <v>1504</v>
      </c>
      <c r="BM188" s="2" t="s">
        <v>2562</v>
      </c>
      <c r="BN188" s="1" t="s">
        <v>2044</v>
      </c>
      <c r="BO188" s="2" t="s">
        <v>2563</v>
      </c>
      <c r="BP188" s="1" t="s">
        <v>1865</v>
      </c>
      <c r="BQ188" s="2" t="s">
        <v>2564</v>
      </c>
    </row>
    <row r="189" spans="1:69" ht="144" x14ac:dyDescent="0.45">
      <c r="A189" s="5">
        <v>188</v>
      </c>
      <c r="B189" s="8" t="s">
        <v>141</v>
      </c>
      <c r="C189" s="6" t="s">
        <v>6852</v>
      </c>
      <c r="D189" s="7" t="s">
        <v>9794</v>
      </c>
      <c r="E189" s="1" t="s">
        <v>1380</v>
      </c>
      <c r="F189" s="1" t="s">
        <v>1379</v>
      </c>
      <c r="G189" s="1"/>
      <c r="J189" s="1" t="s">
        <v>9795</v>
      </c>
      <c r="K189" s="2" t="s">
        <v>7403</v>
      </c>
      <c r="L189" s="9" t="s">
        <v>8145</v>
      </c>
      <c r="M189" s="1" t="s">
        <v>12227</v>
      </c>
      <c r="P189" s="7" t="s">
        <v>1241</v>
      </c>
      <c r="Q189" s="13"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R189" s="13"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S189" s="13"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T189" s="13"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AV189" s="1" t="s">
        <v>1502</v>
      </c>
      <c r="BG189" s="7" t="s">
        <v>1503</v>
      </c>
      <c r="BH189" s="1" t="s">
        <v>1947</v>
      </c>
      <c r="BI189" s="1" t="s">
        <v>7404</v>
      </c>
      <c r="BJ189" s="1" t="s">
        <v>1967</v>
      </c>
      <c r="BK189" s="1" t="s">
        <v>7405</v>
      </c>
      <c r="BL189" s="1" t="s">
        <v>1959</v>
      </c>
      <c r="BM189" s="2" t="s">
        <v>7406</v>
      </c>
      <c r="BN189" s="1" t="s">
        <v>1875</v>
      </c>
      <c r="BO189" s="2" t="s">
        <v>7407</v>
      </c>
      <c r="BP189" s="1" t="s">
        <v>1865</v>
      </c>
      <c r="BQ189" s="2" t="s">
        <v>2565</v>
      </c>
    </row>
    <row r="190" spans="1:69" ht="90" x14ac:dyDescent="0.45">
      <c r="A190" s="5">
        <v>189</v>
      </c>
      <c r="B190" s="8" t="s">
        <v>1569</v>
      </c>
      <c r="C190" s="6" t="s">
        <v>6852</v>
      </c>
      <c r="D190" s="7" t="s">
        <v>9794</v>
      </c>
      <c r="E190" s="1" t="s">
        <v>8944</v>
      </c>
      <c r="F190" s="1" t="s">
        <v>1551</v>
      </c>
      <c r="G190" s="1"/>
      <c r="J190" s="1" t="s">
        <v>9795</v>
      </c>
      <c r="K190" s="2" t="s">
        <v>7408</v>
      </c>
      <c r="L190" s="9" t="s">
        <v>8146</v>
      </c>
      <c r="P190" s="7" t="s">
        <v>1241</v>
      </c>
      <c r="AU190" s="15"/>
      <c r="AV190" s="1" t="s">
        <v>1502</v>
      </c>
      <c r="BG190" s="7" t="s">
        <v>1503</v>
      </c>
      <c r="BH190" s="1" t="s">
        <v>2423</v>
      </c>
      <c r="BI190" s="2" t="s">
        <v>2566</v>
      </c>
      <c r="BJ190" s="1" t="s">
        <v>2034</v>
      </c>
      <c r="BK190" s="2" t="s">
        <v>2567</v>
      </c>
      <c r="BL190" s="1" t="s">
        <v>1865</v>
      </c>
      <c r="BM190" s="2" t="s">
        <v>2568</v>
      </c>
    </row>
    <row r="191" spans="1:69" ht="72" x14ac:dyDescent="0.45">
      <c r="A191" s="5">
        <v>190</v>
      </c>
      <c r="B191" s="8" t="s">
        <v>142</v>
      </c>
      <c r="C191" s="6" t="s">
        <v>6852</v>
      </c>
      <c r="D191" s="7" t="s">
        <v>9794</v>
      </c>
      <c r="E191" s="1" t="s">
        <v>142</v>
      </c>
      <c r="F191" s="1"/>
      <c r="G191" s="1"/>
      <c r="J191" s="1" t="s">
        <v>9795</v>
      </c>
      <c r="K191" s="2" t="s">
        <v>7409</v>
      </c>
      <c r="L191" s="9" t="s">
        <v>8147</v>
      </c>
      <c r="P191" s="7" t="s">
        <v>1241</v>
      </c>
      <c r="Q191" s="13"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191" s="13"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S191" s="13"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T191" s="13"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U191" s="13"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V191"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W191" s="13"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AV191" s="1" t="s">
        <v>1502</v>
      </c>
      <c r="BG191" s="7" t="s">
        <v>1503</v>
      </c>
      <c r="BH191" s="1" t="s">
        <v>2569</v>
      </c>
      <c r="BI191" s="1" t="s">
        <v>2570</v>
      </c>
      <c r="BJ191" s="1" t="s">
        <v>2129</v>
      </c>
      <c r="BK191" s="1" t="s">
        <v>7410</v>
      </c>
      <c r="BL191" s="1" t="s">
        <v>2044</v>
      </c>
      <c r="BM191" s="1" t="s">
        <v>2571</v>
      </c>
    </row>
    <row r="192" spans="1:69" ht="54" x14ac:dyDescent="0.45">
      <c r="A192" s="5">
        <v>191</v>
      </c>
      <c r="B192" s="8" t="s">
        <v>143</v>
      </c>
      <c r="C192" s="6" t="s">
        <v>6852</v>
      </c>
      <c r="D192" s="7" t="s">
        <v>9794</v>
      </c>
      <c r="E192" s="1" t="s">
        <v>143</v>
      </c>
      <c r="F192" s="1"/>
      <c r="G192" s="1"/>
      <c r="J192" s="1" t="s">
        <v>9795</v>
      </c>
      <c r="K192" s="2" t="s">
        <v>7411</v>
      </c>
      <c r="L192" s="9" t="s">
        <v>8148</v>
      </c>
      <c r="P192" s="7" t="s">
        <v>1241</v>
      </c>
      <c r="Q192" s="13"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V192" s="1" t="s">
        <v>1502</v>
      </c>
      <c r="BG192" s="7" t="s">
        <v>1503</v>
      </c>
      <c r="BH192" s="1" t="s">
        <v>2129</v>
      </c>
      <c r="BI192" s="1" t="s">
        <v>2572</v>
      </c>
      <c r="BJ192" s="1" t="s">
        <v>2044</v>
      </c>
      <c r="BK192" s="2" t="s">
        <v>2573</v>
      </c>
    </row>
    <row r="193" spans="1:71" ht="144" x14ac:dyDescent="0.45">
      <c r="A193" s="5">
        <v>192</v>
      </c>
      <c r="B193" s="8" t="s">
        <v>1570</v>
      </c>
      <c r="C193" s="6" t="s">
        <v>6852</v>
      </c>
      <c r="D193" s="7" t="s">
        <v>9794</v>
      </c>
      <c r="E193" s="1" t="s">
        <v>8945</v>
      </c>
      <c r="F193" s="1" t="s">
        <v>1379</v>
      </c>
      <c r="G193" s="1"/>
      <c r="J193" s="1" t="s">
        <v>9795</v>
      </c>
      <c r="K193" s="2" t="s">
        <v>7412</v>
      </c>
      <c r="L193" s="4" t="s">
        <v>8149</v>
      </c>
      <c r="P193" s="7" t="s">
        <v>1241</v>
      </c>
      <c r="Q193" s="13" t="str">
        <f>INDEX($L:$L, MATCH("possible", $B:$B, 0))</f>
        <v>&lt;span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v>
      </c>
      <c r="R193" s="13"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AU193" s="15"/>
      <c r="AV193" s="1" t="s">
        <v>1502</v>
      </c>
      <c r="BG193" s="7" t="s">
        <v>1503</v>
      </c>
      <c r="BH193" s="1" t="s">
        <v>2034</v>
      </c>
      <c r="BI193" s="2" t="s">
        <v>7413</v>
      </c>
      <c r="BJ193" s="1" t="s">
        <v>1980</v>
      </c>
      <c r="BK193" s="2" t="s">
        <v>2574</v>
      </c>
      <c r="BL193" s="1" t="s">
        <v>1504</v>
      </c>
      <c r="BM193" s="2" t="s">
        <v>2575</v>
      </c>
      <c r="BN193" s="1" t="s">
        <v>2044</v>
      </c>
      <c r="BO193" s="2" t="s">
        <v>2576</v>
      </c>
    </row>
    <row r="194" spans="1:71" ht="378" x14ac:dyDescent="0.45">
      <c r="A194" s="5">
        <v>193</v>
      </c>
      <c r="B194" s="8" t="s">
        <v>144</v>
      </c>
      <c r="C194" s="6" t="s">
        <v>6852</v>
      </c>
      <c r="D194" s="7" t="s">
        <v>9794</v>
      </c>
      <c r="E194" s="1" t="s">
        <v>1731</v>
      </c>
      <c r="F194" s="1" t="s">
        <v>1528</v>
      </c>
      <c r="G194" s="1"/>
      <c r="J194" s="1" t="s">
        <v>9795</v>
      </c>
      <c r="K194" s="2" t="s">
        <v>7414</v>
      </c>
      <c r="L194" s="4" t="s">
        <v>8150</v>
      </c>
      <c r="M194" s="1" t="s">
        <v>12228</v>
      </c>
      <c r="P194" s="7" t="s">
        <v>1241</v>
      </c>
      <c r="Q194" s="1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R194" s="1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S194" s="1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T194" s="1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194" s="1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194" s="1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194" s="1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194" s="1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194" s="15"/>
      <c r="AV194" s="1" t="s">
        <v>1502</v>
      </c>
      <c r="BG194" s="7" t="s">
        <v>1503</v>
      </c>
      <c r="BH194" s="1" t="s">
        <v>2034</v>
      </c>
      <c r="BI194" s="2" t="s">
        <v>2577</v>
      </c>
      <c r="BJ194" s="1" t="s">
        <v>1504</v>
      </c>
      <c r="BK194" s="2" t="s">
        <v>2578</v>
      </c>
      <c r="BL194" s="1" t="s">
        <v>2044</v>
      </c>
      <c r="BM194" s="2" t="s">
        <v>2579</v>
      </c>
      <c r="BN194" s="1" t="s">
        <v>1865</v>
      </c>
      <c r="BO194" s="2" t="s">
        <v>2580</v>
      </c>
    </row>
    <row r="195" spans="1:71" ht="144" x14ac:dyDescent="0.45">
      <c r="A195" s="5">
        <v>194</v>
      </c>
      <c r="B195" s="8" t="s">
        <v>1571</v>
      </c>
      <c r="C195" s="6" t="s">
        <v>6852</v>
      </c>
      <c r="D195" s="7" t="s">
        <v>9794</v>
      </c>
      <c r="E195" s="1" t="s">
        <v>8946</v>
      </c>
      <c r="F195" s="1" t="s">
        <v>49</v>
      </c>
      <c r="G195" s="1"/>
      <c r="J195" s="1" t="s">
        <v>9795</v>
      </c>
      <c r="K195" s="2" t="s">
        <v>7415</v>
      </c>
      <c r="L195" s="9" t="s">
        <v>8151</v>
      </c>
      <c r="P195" s="7" t="s">
        <v>1241</v>
      </c>
      <c r="AU195" s="15"/>
      <c r="AV195" s="1" t="s">
        <v>1502</v>
      </c>
      <c r="BG195" s="7" t="s">
        <v>1503</v>
      </c>
      <c r="BH195" s="1" t="s">
        <v>2034</v>
      </c>
      <c r="BI195" s="2" t="s">
        <v>2581</v>
      </c>
      <c r="BJ195" s="1" t="s">
        <v>2044</v>
      </c>
      <c r="BK195" s="2" t="s">
        <v>2582</v>
      </c>
      <c r="BL195" s="1" t="s">
        <v>1860</v>
      </c>
      <c r="BM195" s="2" t="s">
        <v>2583</v>
      </c>
    </row>
    <row r="196" spans="1:71" ht="216" x14ac:dyDescent="0.45">
      <c r="A196" s="5">
        <v>195</v>
      </c>
      <c r="B196" s="8" t="s">
        <v>1381</v>
      </c>
      <c r="C196" s="6" t="s">
        <v>6852</v>
      </c>
      <c r="D196" s="7" t="s">
        <v>9794</v>
      </c>
      <c r="E196" s="1" t="s">
        <v>8931</v>
      </c>
      <c r="F196" s="1" t="s">
        <v>8947</v>
      </c>
      <c r="G196" s="1"/>
      <c r="J196" s="1" t="s">
        <v>9795</v>
      </c>
      <c r="K196" s="2" t="s">
        <v>7416</v>
      </c>
      <c r="L196" s="4" t="s">
        <v>8152</v>
      </c>
      <c r="M196" s="1" t="s">
        <v>12220</v>
      </c>
      <c r="P196" s="7" t="s">
        <v>1241</v>
      </c>
      <c r="Q196" s="14"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196" s="14"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196" s="14"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196" s="14"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196" s="14"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V196" s="14"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196" s="13"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196" s="15"/>
      <c r="AV196" s="1" t="s">
        <v>1502</v>
      </c>
      <c r="BG196" s="7" t="s">
        <v>1503</v>
      </c>
      <c r="BH196" s="1" t="s">
        <v>2034</v>
      </c>
      <c r="BI196" s="2" t="s">
        <v>7417</v>
      </c>
      <c r="BJ196" s="1" t="s">
        <v>1504</v>
      </c>
      <c r="BK196" s="2" t="s">
        <v>2584</v>
      </c>
      <c r="BL196" s="1" t="s">
        <v>2044</v>
      </c>
      <c r="BM196" s="2" t="s">
        <v>2585</v>
      </c>
    </row>
    <row r="197" spans="1:71" ht="144" x14ac:dyDescent="0.45">
      <c r="A197" s="5">
        <v>196</v>
      </c>
      <c r="B197" s="8" t="s">
        <v>1572</v>
      </c>
      <c r="C197" s="6" t="s">
        <v>6852</v>
      </c>
      <c r="D197" s="7" t="s">
        <v>9794</v>
      </c>
      <c r="E197" s="1" t="s">
        <v>145</v>
      </c>
      <c r="F197" s="1"/>
      <c r="G197" s="1"/>
      <c r="J197" s="1" t="s">
        <v>9795</v>
      </c>
      <c r="K197" s="2" t="s">
        <v>7418</v>
      </c>
      <c r="L197" s="4" t="s">
        <v>8153</v>
      </c>
      <c r="P197" s="7" t="s">
        <v>1241</v>
      </c>
      <c r="Q197" s="13" t="str">
        <f>INDEX($L:$L, MATCH("innovation", $B:$B, 0))</f>
        <v>&lt;span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v>
      </c>
      <c r="R197" s="13" t="str">
        <f>INDEX($L:$L, MATCH("renew", $B:$B, 0))</f>
        <v>&lt;span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v>
      </c>
      <c r="AU197" s="15"/>
      <c r="AV197" s="1" t="s">
        <v>1502</v>
      </c>
      <c r="BG197" s="7" t="s">
        <v>1503</v>
      </c>
      <c r="BH197" s="1" t="s">
        <v>2034</v>
      </c>
      <c r="BI197" s="2" t="s">
        <v>2586</v>
      </c>
      <c r="BJ197" s="1" t="s">
        <v>1967</v>
      </c>
      <c r="BK197" s="2" t="s">
        <v>2587</v>
      </c>
      <c r="BL197" s="1" t="s">
        <v>1504</v>
      </c>
      <c r="BM197" s="2" t="s">
        <v>2588</v>
      </c>
      <c r="BN197" s="1" t="s">
        <v>2044</v>
      </c>
      <c r="BO197" s="2" t="s">
        <v>2589</v>
      </c>
    </row>
    <row r="198" spans="1:71" ht="126" x14ac:dyDescent="0.45">
      <c r="A198" s="5">
        <v>197</v>
      </c>
      <c r="B198" s="8" t="s">
        <v>1573</v>
      </c>
      <c r="C198" s="6" t="s">
        <v>6852</v>
      </c>
      <c r="D198" s="7" t="s">
        <v>9794</v>
      </c>
      <c r="E198" s="1" t="s">
        <v>8948</v>
      </c>
      <c r="F198" s="1" t="s">
        <v>1551</v>
      </c>
      <c r="G198" s="1"/>
      <c r="J198" s="1" t="s">
        <v>9795</v>
      </c>
      <c r="K198" s="2" t="s">
        <v>7419</v>
      </c>
      <c r="L198" s="9" t="s">
        <v>8154</v>
      </c>
      <c r="P198" s="7" t="s">
        <v>1241</v>
      </c>
      <c r="AU198" s="15"/>
      <c r="AV198" s="1" t="s">
        <v>1502</v>
      </c>
      <c r="BG198" s="7" t="s">
        <v>1503</v>
      </c>
      <c r="BH198" s="1" t="s">
        <v>2423</v>
      </c>
      <c r="BI198" s="2" t="s">
        <v>2590</v>
      </c>
      <c r="BJ198" s="1" t="s">
        <v>2034</v>
      </c>
      <c r="BK198" s="2" t="s">
        <v>2591</v>
      </c>
      <c r="BL198" s="1" t="s">
        <v>1865</v>
      </c>
      <c r="BM198" s="2" t="s">
        <v>2592</v>
      </c>
      <c r="BN198" s="1" t="s">
        <v>1860</v>
      </c>
      <c r="BO198" s="2" t="s">
        <v>2593</v>
      </c>
    </row>
    <row r="199" spans="1:71" ht="90" x14ac:dyDescent="0.45">
      <c r="A199" s="5">
        <v>198</v>
      </c>
      <c r="B199" s="8" t="s">
        <v>146</v>
      </c>
      <c r="C199" s="6" t="s">
        <v>6852</v>
      </c>
      <c r="D199" s="7" t="s">
        <v>9794</v>
      </c>
      <c r="E199" s="1" t="s">
        <v>1382</v>
      </c>
      <c r="F199" s="1" t="s">
        <v>49</v>
      </c>
      <c r="G199" s="1"/>
      <c r="J199" s="1" t="s">
        <v>9795</v>
      </c>
      <c r="K199" s="2" t="s">
        <v>7420</v>
      </c>
      <c r="L199" s="9" t="s">
        <v>8155</v>
      </c>
      <c r="P199" s="7" t="s">
        <v>1241</v>
      </c>
      <c r="AU199" s="15"/>
      <c r="AV199" s="1" t="s">
        <v>1502</v>
      </c>
      <c r="BG199" s="7" t="s">
        <v>1503</v>
      </c>
      <c r="BH199" s="1" t="s">
        <v>2423</v>
      </c>
      <c r="BI199" s="2" t="s">
        <v>7421</v>
      </c>
      <c r="BJ199" s="1" t="s">
        <v>2594</v>
      </c>
      <c r="BK199" s="1" t="s">
        <v>3660</v>
      </c>
      <c r="BL199" s="1" t="s">
        <v>1980</v>
      </c>
      <c r="BM199" s="1" t="s">
        <v>2595</v>
      </c>
      <c r="BN199" s="1" t="s">
        <v>1504</v>
      </c>
      <c r="BO199" s="2" t="s">
        <v>2596</v>
      </c>
      <c r="BP199" s="1" t="s">
        <v>2044</v>
      </c>
      <c r="BQ199" s="2" t="s">
        <v>7422</v>
      </c>
      <c r="BR199" s="1" t="s">
        <v>1865</v>
      </c>
      <c r="BS199" s="2" t="s">
        <v>2597</v>
      </c>
    </row>
    <row r="200" spans="1:71" ht="409.6" x14ac:dyDescent="0.45">
      <c r="A200" s="5">
        <v>199</v>
      </c>
      <c r="B200" s="8" t="s">
        <v>1383</v>
      </c>
      <c r="C200" s="6" t="s">
        <v>6852</v>
      </c>
      <c r="D200" s="7" t="s">
        <v>9794</v>
      </c>
      <c r="E200" s="1" t="s">
        <v>5269</v>
      </c>
      <c r="F200" s="1" t="s">
        <v>1357</v>
      </c>
      <c r="G200" s="1" t="s">
        <v>1541</v>
      </c>
      <c r="J200" s="1" t="s">
        <v>9795</v>
      </c>
      <c r="K200" s="2" t="s">
        <v>7423</v>
      </c>
      <c r="L200" s="4" t="s">
        <v>8156</v>
      </c>
      <c r="M200" s="1" t="s">
        <v>12223</v>
      </c>
      <c r="P200" s="7" t="s">
        <v>1241</v>
      </c>
      <c r="Q200" s="14"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200" s="1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200" s="1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200" s="1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200" s="1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V200" s="1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W200" s="1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200" s="1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200" s="1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200"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A200" s="15"/>
      <c r="AB200" s="15"/>
      <c r="AU200" s="15"/>
      <c r="AV200" s="1" t="s">
        <v>1502</v>
      </c>
      <c r="BG200" s="7" t="s">
        <v>1503</v>
      </c>
      <c r="BH200" s="1" t="s">
        <v>2034</v>
      </c>
      <c r="BI200" s="2" t="s">
        <v>2598</v>
      </c>
      <c r="BJ200" s="1" t="s">
        <v>1504</v>
      </c>
      <c r="BK200" s="2" t="s">
        <v>2599</v>
      </c>
      <c r="BL200" s="1" t="s">
        <v>2044</v>
      </c>
      <c r="BM200" s="2" t="s">
        <v>2600</v>
      </c>
    </row>
    <row r="201" spans="1:71" ht="324" x14ac:dyDescent="0.45">
      <c r="A201" s="5">
        <v>200</v>
      </c>
      <c r="B201" s="8" t="s">
        <v>1384</v>
      </c>
      <c r="C201" s="6" t="s">
        <v>6854</v>
      </c>
      <c r="D201" s="7" t="s">
        <v>9794</v>
      </c>
      <c r="E201" s="1" t="s">
        <v>8949</v>
      </c>
      <c r="F201" s="1" t="s">
        <v>5322</v>
      </c>
      <c r="G201" s="1" t="s">
        <v>1457</v>
      </c>
      <c r="J201" s="1" t="s">
        <v>9795</v>
      </c>
      <c r="K201" s="2" t="s">
        <v>7424</v>
      </c>
      <c r="L201" s="4" t="s">
        <v>8157</v>
      </c>
      <c r="M201" s="1" t="s">
        <v>12206</v>
      </c>
      <c r="P201" s="7" t="s">
        <v>1241</v>
      </c>
      <c r="Q201" s="14"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201" s="14"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S201" s="14"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T201" s="14"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U201" s="14"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V201" s="1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W201" s="15"/>
      <c r="AU201" s="15"/>
      <c r="AV201" s="1" t="s">
        <v>1502</v>
      </c>
      <c r="BG201" s="7" t="s">
        <v>1503</v>
      </c>
      <c r="BH201" s="1" t="s">
        <v>2601</v>
      </c>
      <c r="BI201" s="2" t="s">
        <v>2602</v>
      </c>
      <c r="BJ201" s="1" t="s">
        <v>2603</v>
      </c>
      <c r="BK201" s="2" t="s">
        <v>2604</v>
      </c>
      <c r="BL201" s="1" t="s">
        <v>2605</v>
      </c>
      <c r="BM201" s="2" t="s">
        <v>2606</v>
      </c>
    </row>
    <row r="202" spans="1:71" ht="144" x14ac:dyDescent="0.45">
      <c r="A202" s="5">
        <v>201</v>
      </c>
      <c r="B202" s="8" t="s">
        <v>1574</v>
      </c>
      <c r="C202" s="6" t="s">
        <v>1816</v>
      </c>
      <c r="D202" s="7" t="s">
        <v>9794</v>
      </c>
      <c r="E202" s="1" t="s">
        <v>8950</v>
      </c>
      <c r="F202" s="1" t="s">
        <v>1422</v>
      </c>
      <c r="G202" s="1"/>
      <c r="J202" s="1" t="s">
        <v>9795</v>
      </c>
      <c r="K202" s="2" t="s">
        <v>7425</v>
      </c>
      <c r="L202" s="9" t="s">
        <v>8158</v>
      </c>
      <c r="P202" s="7" t="s">
        <v>1241</v>
      </c>
      <c r="AU202" s="15"/>
      <c r="AV202" s="1" t="s">
        <v>1502</v>
      </c>
      <c r="BG202" s="7" t="s">
        <v>1503</v>
      </c>
      <c r="BH202" s="1" t="s">
        <v>2034</v>
      </c>
      <c r="BI202" s="2" t="s">
        <v>7426</v>
      </c>
      <c r="BJ202" s="1" t="s">
        <v>1980</v>
      </c>
      <c r="BK202" s="2" t="s">
        <v>7427</v>
      </c>
      <c r="BL202" s="1" t="s">
        <v>2607</v>
      </c>
      <c r="BM202" s="1" t="s">
        <v>2608</v>
      </c>
      <c r="BN202" s="1" t="s">
        <v>2519</v>
      </c>
      <c r="BO202" s="2" t="s">
        <v>2609</v>
      </c>
      <c r="BP202" s="1" t="s">
        <v>1865</v>
      </c>
      <c r="BQ202" s="2" t="s">
        <v>2610</v>
      </c>
    </row>
    <row r="203" spans="1:71" ht="270" x14ac:dyDescent="0.45">
      <c r="A203" s="5">
        <v>202</v>
      </c>
      <c r="B203" s="8" t="s">
        <v>1385</v>
      </c>
      <c r="C203" s="6" t="s">
        <v>1816</v>
      </c>
      <c r="D203" s="7" t="s">
        <v>9794</v>
      </c>
      <c r="E203" s="1" t="s">
        <v>1251</v>
      </c>
      <c r="F203" s="1" t="s">
        <v>1338</v>
      </c>
      <c r="G203" s="1" t="s">
        <v>1575</v>
      </c>
      <c r="J203" s="1" t="s">
        <v>9795</v>
      </c>
      <c r="K203" s="2" t="s">
        <v>7428</v>
      </c>
      <c r="L203" s="3" t="s">
        <v>8159</v>
      </c>
      <c r="P203" s="7" t="s">
        <v>1241</v>
      </c>
      <c r="Q203" s="14" t="str">
        <f>INDEX($L:$L, MATCH("essential", $B:$B, 0))</f>
        <v>&lt;span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v>
      </c>
      <c r="R203" s="14" t="str">
        <f>INDEX($L:$L, MATCH("interest", $B:$B, 0))</f>
        <v>&lt;span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v>
      </c>
      <c r="S203" s="14" t="str">
        <f>INDEX($L:$L, MATCH("presence", $B:$B, 0))</f>
        <v>&lt;span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v>
      </c>
      <c r="AU203" s="15"/>
      <c r="AV203" s="1" t="s">
        <v>1502</v>
      </c>
      <c r="BG203" s="7" t="s">
        <v>1503</v>
      </c>
      <c r="BH203" s="1" t="s">
        <v>2034</v>
      </c>
      <c r="BI203" s="2" t="s">
        <v>2611</v>
      </c>
      <c r="BJ203" s="1" t="s">
        <v>2607</v>
      </c>
      <c r="BK203" s="1" t="s">
        <v>2612</v>
      </c>
      <c r="BL203" s="1" t="s">
        <v>2044</v>
      </c>
      <c r="BM203" s="2" t="s">
        <v>2613</v>
      </c>
    </row>
    <row r="204" spans="1:71" ht="288" x14ac:dyDescent="0.45">
      <c r="A204" s="5">
        <v>203</v>
      </c>
      <c r="B204" s="8" t="s">
        <v>147</v>
      </c>
      <c r="C204" s="6" t="s">
        <v>1816</v>
      </c>
      <c r="D204" s="7" t="s">
        <v>9794</v>
      </c>
      <c r="E204" s="1" t="s">
        <v>27</v>
      </c>
      <c r="F204" s="1" t="s">
        <v>1386</v>
      </c>
      <c r="G204" s="1"/>
      <c r="J204" s="1" t="s">
        <v>9795</v>
      </c>
      <c r="K204" s="2" t="s">
        <v>7429</v>
      </c>
      <c r="L204" s="3" t="s">
        <v>8160</v>
      </c>
      <c r="M204" s="1" t="s">
        <v>12229</v>
      </c>
      <c r="P204" s="7" t="s">
        <v>1241</v>
      </c>
      <c r="Q204" s="14"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R204" s="14"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S204" s="1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204" s="14"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U204" s="14"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V204" s="14"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AU204" s="15"/>
      <c r="AV204" s="1" t="s">
        <v>1502</v>
      </c>
      <c r="BG204" s="7" t="s">
        <v>1503</v>
      </c>
      <c r="BH204" s="1" t="s">
        <v>2034</v>
      </c>
      <c r="BI204" s="2" t="s">
        <v>2614</v>
      </c>
      <c r="BJ204" s="1" t="s">
        <v>1865</v>
      </c>
      <c r="BK204" s="2" t="s">
        <v>2615</v>
      </c>
    </row>
    <row r="205" spans="1:71" ht="198" x14ac:dyDescent="0.45">
      <c r="A205" s="5">
        <v>204</v>
      </c>
      <c r="B205" s="8" t="s">
        <v>148</v>
      </c>
      <c r="C205" s="6" t="s">
        <v>1816</v>
      </c>
      <c r="D205" s="7" t="s">
        <v>9794</v>
      </c>
      <c r="E205" s="1" t="s">
        <v>148</v>
      </c>
      <c r="F205" s="1"/>
      <c r="G205" s="1"/>
      <c r="J205" s="1" t="s">
        <v>9795</v>
      </c>
      <c r="K205" s="2" t="s">
        <v>7430</v>
      </c>
      <c r="L205" s="4" t="s">
        <v>8161</v>
      </c>
      <c r="P205" s="7" t="s">
        <v>1241</v>
      </c>
      <c r="Q205" s="14"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R205" s="14"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S205" s="1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T205" s="13"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U205"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205"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205" s="15"/>
      <c r="AV205" s="1" t="s">
        <v>1502</v>
      </c>
      <c r="BG205" s="7" t="s">
        <v>1503</v>
      </c>
      <c r="BH205" s="1" t="s">
        <v>2034</v>
      </c>
      <c r="BI205" s="2" t="s">
        <v>7431</v>
      </c>
      <c r="BJ205" s="1" t="s">
        <v>2616</v>
      </c>
      <c r="BK205" s="1" t="s">
        <v>2617</v>
      </c>
      <c r="BL205" s="1" t="s">
        <v>1504</v>
      </c>
      <c r="BM205" s="1" t="s">
        <v>2618</v>
      </c>
      <c r="BN205" s="1" t="s">
        <v>1865</v>
      </c>
      <c r="BO205" s="2" t="s">
        <v>2619</v>
      </c>
    </row>
    <row r="206" spans="1:71" ht="252" x14ac:dyDescent="0.45">
      <c r="A206" s="5">
        <v>205</v>
      </c>
      <c r="B206" s="8" t="s">
        <v>1387</v>
      </c>
      <c r="C206" s="6" t="s">
        <v>1816</v>
      </c>
      <c r="D206" s="7" t="s">
        <v>9794</v>
      </c>
      <c r="E206" s="1" t="s">
        <v>1395</v>
      </c>
      <c r="F206" s="1" t="s">
        <v>54</v>
      </c>
      <c r="G206" s="1"/>
      <c r="J206" s="1" t="s">
        <v>9795</v>
      </c>
      <c r="K206" s="2" t="s">
        <v>7432</v>
      </c>
      <c r="L206" s="3" t="s">
        <v>10694</v>
      </c>
      <c r="M206" s="1" t="s">
        <v>12171</v>
      </c>
      <c r="P206" s="7" t="s">
        <v>1241</v>
      </c>
      <c r="Q206" s="14"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206" s="14"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S206" s="14"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T206" s="14"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U206"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V206" s="14"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U206" s="15"/>
      <c r="AV206" s="1" t="s">
        <v>1502</v>
      </c>
      <c r="BG206" s="7" t="s">
        <v>1503</v>
      </c>
      <c r="BH206" s="1" t="s">
        <v>2034</v>
      </c>
      <c r="BI206" s="2" t="s">
        <v>2620</v>
      </c>
      <c r="BJ206" s="1" t="s">
        <v>1504</v>
      </c>
      <c r="BK206" s="1" t="s">
        <v>2621</v>
      </c>
      <c r="BL206" s="1" t="s">
        <v>2044</v>
      </c>
      <c r="BM206" s="2" t="s">
        <v>7433</v>
      </c>
    </row>
    <row r="207" spans="1:71" ht="216" x14ac:dyDescent="0.45">
      <c r="A207" s="5">
        <v>206</v>
      </c>
      <c r="B207" s="8" t="s">
        <v>1388</v>
      </c>
      <c r="C207" s="6" t="s">
        <v>1816</v>
      </c>
      <c r="D207" s="7" t="s">
        <v>9794</v>
      </c>
      <c r="E207" s="1" t="s">
        <v>6578</v>
      </c>
      <c r="F207" s="1" t="s">
        <v>1332</v>
      </c>
      <c r="G207" s="1"/>
      <c r="J207" s="1" t="s">
        <v>9795</v>
      </c>
      <c r="K207" s="2" t="s">
        <v>7434</v>
      </c>
      <c r="L207" s="4" t="s">
        <v>8162</v>
      </c>
      <c r="M207" s="1" t="s">
        <v>12211</v>
      </c>
      <c r="P207" s="7" t="s">
        <v>1241</v>
      </c>
      <c r="Q207" s="14"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R207" s="14"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S207" s="14"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T207" s="1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U207" s="14"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V207"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W207" s="13"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X207" s="13"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Y207" s="13"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Z207" s="13"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AA207" s="13"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AB207"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AU207" s="15"/>
      <c r="AV207" s="1" t="s">
        <v>1502</v>
      </c>
      <c r="BG207" s="7" t="s">
        <v>1503</v>
      </c>
      <c r="BH207" s="1" t="s">
        <v>2034</v>
      </c>
      <c r="BI207" s="2" t="s">
        <v>2622</v>
      </c>
      <c r="BJ207" s="1" t="s">
        <v>1504</v>
      </c>
      <c r="BK207" s="1" t="s">
        <v>2623</v>
      </c>
      <c r="BL207" s="1" t="s">
        <v>2321</v>
      </c>
      <c r="BM207" s="1" t="s">
        <v>2624</v>
      </c>
      <c r="BN207" s="1" t="s">
        <v>2044</v>
      </c>
      <c r="BO207" s="2" t="s">
        <v>2625</v>
      </c>
    </row>
    <row r="208" spans="1:71" ht="270" x14ac:dyDescent="0.45">
      <c r="A208" s="5">
        <v>207</v>
      </c>
      <c r="B208" s="8" t="s">
        <v>149</v>
      </c>
      <c r="C208" s="6" t="s">
        <v>1816</v>
      </c>
      <c r="D208" s="7" t="s">
        <v>9794</v>
      </c>
      <c r="E208" s="1" t="s">
        <v>1341</v>
      </c>
      <c r="F208" s="1" t="s">
        <v>1389</v>
      </c>
      <c r="G208" s="1"/>
      <c r="J208" s="1" t="s">
        <v>9795</v>
      </c>
      <c r="K208" s="2" t="s">
        <v>7435</v>
      </c>
      <c r="L208" s="3" t="s">
        <v>8163</v>
      </c>
      <c r="M208" s="1" t="s">
        <v>12187</v>
      </c>
      <c r="P208" s="7" t="s">
        <v>1241</v>
      </c>
      <c r="Q208" s="1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208" s="1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208"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T208"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U208" s="1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208" s="1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W208" s="13"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AU208" s="15"/>
      <c r="AV208" s="1" t="s">
        <v>1502</v>
      </c>
      <c r="BG208" s="7" t="s">
        <v>1503</v>
      </c>
      <c r="BH208" s="1" t="s">
        <v>2034</v>
      </c>
      <c r="BI208" s="2" t="s">
        <v>2626</v>
      </c>
      <c r="BJ208" s="1" t="s">
        <v>2048</v>
      </c>
      <c r="BK208" s="1" t="s">
        <v>2627</v>
      </c>
      <c r="BL208" s="1" t="s">
        <v>1504</v>
      </c>
      <c r="BM208" s="1" t="s">
        <v>2628</v>
      </c>
      <c r="BN208" s="1" t="s">
        <v>2321</v>
      </c>
      <c r="BO208" s="1" t="s">
        <v>2629</v>
      </c>
      <c r="BP208" s="1" t="s">
        <v>2044</v>
      </c>
      <c r="BQ208" s="2" t="s">
        <v>2630</v>
      </c>
      <c r="BR208" s="1" t="s">
        <v>1865</v>
      </c>
      <c r="BS208" s="2" t="s">
        <v>2631</v>
      </c>
    </row>
    <row r="209" spans="1:67" ht="126" x14ac:dyDescent="0.45">
      <c r="A209" s="5">
        <v>208</v>
      </c>
      <c r="B209" s="8" t="s">
        <v>150</v>
      </c>
      <c r="C209" s="6" t="s">
        <v>1816</v>
      </c>
      <c r="D209" s="7" t="s">
        <v>9794</v>
      </c>
      <c r="E209" s="1" t="s">
        <v>1251</v>
      </c>
      <c r="F209" s="1" t="s">
        <v>1390</v>
      </c>
      <c r="G209" s="1"/>
      <c r="J209" s="1" t="s">
        <v>9795</v>
      </c>
      <c r="K209" s="2" t="s">
        <v>7436</v>
      </c>
      <c r="L209" s="9" t="s">
        <v>8164</v>
      </c>
      <c r="P209" s="7" t="s">
        <v>1241</v>
      </c>
      <c r="AU209" s="15"/>
      <c r="AV209" s="1" t="s">
        <v>1502</v>
      </c>
      <c r="BG209" s="7" t="s">
        <v>1503</v>
      </c>
      <c r="BH209" s="1" t="s">
        <v>1865</v>
      </c>
      <c r="BI209" s="2" t="s">
        <v>2632</v>
      </c>
    </row>
    <row r="210" spans="1:67" ht="126" x14ac:dyDescent="0.45">
      <c r="A210" s="5">
        <v>209</v>
      </c>
      <c r="B210" s="8" t="s">
        <v>151</v>
      </c>
      <c r="C210" s="6" t="s">
        <v>1816</v>
      </c>
      <c r="D210" s="7" t="s">
        <v>9794</v>
      </c>
      <c r="E210" s="1" t="s">
        <v>151</v>
      </c>
      <c r="F210" s="1"/>
      <c r="G210" s="1"/>
      <c r="J210" s="1" t="s">
        <v>9795</v>
      </c>
      <c r="K210" s="2" t="s">
        <v>7437</v>
      </c>
      <c r="L210" s="9" t="s">
        <v>10402</v>
      </c>
      <c r="P210" s="7" t="s">
        <v>1241</v>
      </c>
      <c r="AU210" s="15"/>
      <c r="AV210" s="1" t="s">
        <v>1502</v>
      </c>
      <c r="BG210" s="7" t="s">
        <v>1503</v>
      </c>
      <c r="BH210" s="1" t="s">
        <v>2034</v>
      </c>
      <c r="BI210" s="2" t="s">
        <v>4494</v>
      </c>
      <c r="BJ210" s="1" t="s">
        <v>2044</v>
      </c>
      <c r="BK210" s="2" t="s">
        <v>7438</v>
      </c>
    </row>
    <row r="211" spans="1:67" ht="198" x14ac:dyDescent="0.45">
      <c r="A211" s="5">
        <v>210</v>
      </c>
      <c r="B211" s="8" t="s">
        <v>152</v>
      </c>
      <c r="C211" s="6" t="s">
        <v>1816</v>
      </c>
      <c r="D211" s="7" t="s">
        <v>9794</v>
      </c>
      <c r="E211" s="1" t="s">
        <v>46</v>
      </c>
      <c r="F211" s="1" t="s">
        <v>1391</v>
      </c>
      <c r="G211" s="1"/>
      <c r="J211" s="1" t="s">
        <v>9795</v>
      </c>
      <c r="K211" s="2" t="s">
        <v>7439</v>
      </c>
      <c r="L211" s="3" t="s">
        <v>8165</v>
      </c>
      <c r="M211" s="1" t="s">
        <v>12167</v>
      </c>
      <c r="P211" s="7" t="s">
        <v>1241</v>
      </c>
      <c r="Q211" s="14"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211" s="14"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211" s="14"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T211" s="14"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U211" s="14"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AU211" s="15"/>
      <c r="AV211" s="1" t="s">
        <v>1502</v>
      </c>
      <c r="BG211" s="7" t="s">
        <v>1503</v>
      </c>
      <c r="BH211" s="1" t="s">
        <v>2034</v>
      </c>
      <c r="BI211" s="2" t="s">
        <v>2633</v>
      </c>
      <c r="BJ211" s="1" t="s">
        <v>2044</v>
      </c>
      <c r="BK211" s="2" t="s">
        <v>2634</v>
      </c>
      <c r="BL211" s="1" t="s">
        <v>1865</v>
      </c>
      <c r="BM211" s="2" t="s">
        <v>2635</v>
      </c>
    </row>
    <row r="212" spans="1:67" ht="126" x14ac:dyDescent="0.45">
      <c r="A212" s="5">
        <v>211</v>
      </c>
      <c r="B212" s="8" t="s">
        <v>1576</v>
      </c>
      <c r="C212" s="6" t="s">
        <v>1816</v>
      </c>
      <c r="D212" s="7" t="s">
        <v>9794</v>
      </c>
      <c r="E212" s="1" t="s">
        <v>1392</v>
      </c>
      <c r="F212" s="1" t="s">
        <v>1393</v>
      </c>
      <c r="G212" s="1"/>
      <c r="J212" s="1" t="s">
        <v>9795</v>
      </c>
      <c r="K212" s="2" t="s">
        <v>7440</v>
      </c>
      <c r="L212" s="9" t="s">
        <v>8166</v>
      </c>
      <c r="P212" s="7" t="s">
        <v>1241</v>
      </c>
      <c r="AU212" s="15"/>
      <c r="AV212" s="1" t="s">
        <v>1502</v>
      </c>
      <c r="BG212" s="7" t="s">
        <v>1503</v>
      </c>
      <c r="BH212" s="1" t="s">
        <v>2034</v>
      </c>
      <c r="BI212" s="2" t="s">
        <v>2636</v>
      </c>
      <c r="BJ212" s="1" t="s">
        <v>1504</v>
      </c>
      <c r="BK212" s="1" t="s">
        <v>2637</v>
      </c>
      <c r="BL212" s="1" t="s">
        <v>2044</v>
      </c>
      <c r="BM212" s="2" t="s">
        <v>2638</v>
      </c>
    </row>
    <row r="213" spans="1:67" ht="108" x14ac:dyDescent="0.45">
      <c r="A213" s="5">
        <v>212</v>
      </c>
      <c r="B213" s="8" t="s">
        <v>1394</v>
      </c>
      <c r="C213" s="6" t="s">
        <v>1816</v>
      </c>
      <c r="D213" s="7" t="s">
        <v>9794</v>
      </c>
      <c r="E213" s="1" t="s">
        <v>1395</v>
      </c>
      <c r="F213" s="1" t="s">
        <v>955</v>
      </c>
      <c r="G213" s="1"/>
      <c r="J213" s="1" t="s">
        <v>9795</v>
      </c>
      <c r="K213" s="2"/>
      <c r="L213" s="9" t="s">
        <v>8167</v>
      </c>
      <c r="P213" s="7" t="s">
        <v>1241</v>
      </c>
      <c r="Q213" s="13" t="str">
        <f>INDEX($L:$L, MATCH("tempt", $B:$B, 0))</f>
        <v>&lt;span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v>
      </c>
      <c r="AU213" s="15"/>
      <c r="AV213" s="1" t="s">
        <v>1502</v>
      </c>
      <c r="BG213" s="7" t="s">
        <v>1503</v>
      </c>
      <c r="BH213" s="1" t="s">
        <v>2034</v>
      </c>
      <c r="BI213" s="2" t="s">
        <v>2639</v>
      </c>
      <c r="BJ213" s="1" t="s">
        <v>1504</v>
      </c>
      <c r="BK213" s="1" t="s">
        <v>2640</v>
      </c>
      <c r="BL213" s="1" t="s">
        <v>2044</v>
      </c>
      <c r="BM213" s="2" t="s">
        <v>2641</v>
      </c>
    </row>
    <row r="214" spans="1:67" ht="198" x14ac:dyDescent="0.45">
      <c r="A214" s="5">
        <v>213</v>
      </c>
      <c r="B214" s="8" t="s">
        <v>1396</v>
      </c>
      <c r="C214" s="6" t="s">
        <v>1816</v>
      </c>
      <c r="D214" s="7" t="s">
        <v>9794</v>
      </c>
      <c r="E214" s="1" t="s">
        <v>31</v>
      </c>
      <c r="F214" s="1" t="s">
        <v>4128</v>
      </c>
      <c r="G214" s="1"/>
      <c r="J214" s="1" t="s">
        <v>9795</v>
      </c>
      <c r="K214" s="2" t="s">
        <v>7441</v>
      </c>
      <c r="L214" s="4" t="s">
        <v>8168</v>
      </c>
      <c r="M214" s="1" t="s">
        <v>12220</v>
      </c>
      <c r="P214" s="7" t="s">
        <v>1241</v>
      </c>
      <c r="Q214" s="14"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214" s="14"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214" s="14"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T214" s="14"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U214" s="14"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V214" s="14"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214" s="14"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214" s="15"/>
      <c r="AV214" s="1" t="s">
        <v>1502</v>
      </c>
      <c r="BG214" s="7" t="s">
        <v>1503</v>
      </c>
      <c r="BH214" s="1" t="s">
        <v>2034</v>
      </c>
      <c r="BI214" s="2" t="s">
        <v>2642</v>
      </c>
      <c r="BJ214" s="1" t="s">
        <v>1504</v>
      </c>
      <c r="BK214" s="1" t="s">
        <v>2643</v>
      </c>
      <c r="BL214" s="1" t="s">
        <v>2044</v>
      </c>
      <c r="BM214" s="2" t="s">
        <v>2644</v>
      </c>
    </row>
    <row r="215" spans="1:67" ht="90" x14ac:dyDescent="0.45">
      <c r="A215" s="5">
        <v>214</v>
      </c>
      <c r="B215" s="8" t="s">
        <v>153</v>
      </c>
      <c r="C215" s="6" t="s">
        <v>1816</v>
      </c>
      <c r="D215" s="7" t="s">
        <v>9794</v>
      </c>
      <c r="E215" s="1" t="s">
        <v>153</v>
      </c>
      <c r="F215" s="1"/>
      <c r="G215" s="1"/>
      <c r="J215" s="1" t="s">
        <v>9795</v>
      </c>
      <c r="K215" s="2"/>
      <c r="L215" s="9" t="s">
        <v>8169</v>
      </c>
      <c r="P215" s="7" t="s">
        <v>1241</v>
      </c>
      <c r="AV215" s="1" t="s">
        <v>1502</v>
      </c>
      <c r="BG215" s="7" t="s">
        <v>1503</v>
      </c>
      <c r="BH215" s="1" t="s">
        <v>2569</v>
      </c>
      <c r="BI215" s="1" t="s">
        <v>2645</v>
      </c>
      <c r="BJ215" s="1" t="s">
        <v>2646</v>
      </c>
      <c r="BK215" s="1" t="s">
        <v>2647</v>
      </c>
      <c r="BL215" s="1" t="s">
        <v>2648</v>
      </c>
      <c r="BM215" s="1" t="s">
        <v>7442</v>
      </c>
    </row>
    <row r="216" spans="1:67" ht="180" x14ac:dyDescent="0.45">
      <c r="A216" s="5">
        <v>215</v>
      </c>
      <c r="B216" s="8" t="s">
        <v>1577</v>
      </c>
      <c r="C216" s="6" t="s">
        <v>1816</v>
      </c>
      <c r="D216" s="7" t="s">
        <v>9794</v>
      </c>
      <c r="E216" s="1" t="s">
        <v>154</v>
      </c>
      <c r="F216" s="1"/>
      <c r="G216" s="1"/>
      <c r="J216" s="1" t="s">
        <v>9795</v>
      </c>
      <c r="K216" s="2" t="s">
        <v>7443</v>
      </c>
      <c r="L216" s="9" t="s">
        <v>8170</v>
      </c>
      <c r="P216" s="7" t="s">
        <v>1241</v>
      </c>
      <c r="AU216" s="15"/>
      <c r="AV216" s="1" t="s">
        <v>1502</v>
      </c>
      <c r="BG216" s="7" t="s">
        <v>1503</v>
      </c>
      <c r="BH216" s="1" t="s">
        <v>2034</v>
      </c>
      <c r="BI216" s="2" t="s">
        <v>2649</v>
      </c>
      <c r="BJ216" s="1" t="s">
        <v>2147</v>
      </c>
      <c r="BK216" s="2" t="s">
        <v>2650</v>
      </c>
      <c r="BL216" s="1" t="s">
        <v>2044</v>
      </c>
      <c r="BM216" s="2" t="s">
        <v>7444</v>
      </c>
      <c r="BN216" s="1" t="s">
        <v>1877</v>
      </c>
      <c r="BO216" s="2" t="s">
        <v>7445</v>
      </c>
    </row>
    <row r="217" spans="1:67" ht="90" x14ac:dyDescent="0.45">
      <c r="A217" s="5">
        <v>216</v>
      </c>
      <c r="B217" s="8" t="s">
        <v>155</v>
      </c>
      <c r="C217" s="6" t="s">
        <v>1816</v>
      </c>
      <c r="D217" s="7" t="s">
        <v>9794</v>
      </c>
      <c r="E217" s="1" t="s">
        <v>155</v>
      </c>
      <c r="F217" s="1"/>
      <c r="G217" s="1"/>
      <c r="J217" s="1" t="s">
        <v>9795</v>
      </c>
      <c r="K217" s="2" t="s">
        <v>7446</v>
      </c>
      <c r="L217" s="9" t="s">
        <v>8171</v>
      </c>
      <c r="P217" s="7" t="s">
        <v>1241</v>
      </c>
      <c r="Q217" s="13" t="str">
        <f>INDEX($L:$L, MATCH("foster", $B:$B, 0))</f>
        <v>&lt;span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v>
      </c>
      <c r="AV217" s="1" t="s">
        <v>1502</v>
      </c>
      <c r="BG217" s="7" t="s">
        <v>1503</v>
      </c>
      <c r="BH217" s="1" t="s">
        <v>2648</v>
      </c>
      <c r="BI217" s="1" t="s">
        <v>2651</v>
      </c>
      <c r="BJ217" s="1" t="s">
        <v>2044</v>
      </c>
      <c r="BK217" s="2" t="s">
        <v>2652</v>
      </c>
      <c r="BL217" s="1" t="s">
        <v>1865</v>
      </c>
      <c r="BM217" s="2" t="s">
        <v>2653</v>
      </c>
    </row>
    <row r="218" spans="1:67" ht="54" x14ac:dyDescent="0.45">
      <c r="A218" s="5">
        <v>217</v>
      </c>
      <c r="B218" s="8" t="s">
        <v>156</v>
      </c>
      <c r="C218" s="6" t="s">
        <v>1816</v>
      </c>
      <c r="D218" s="7" t="s">
        <v>9794</v>
      </c>
      <c r="E218" s="1" t="s">
        <v>156</v>
      </c>
      <c r="F218" s="1"/>
      <c r="G218" s="1"/>
      <c r="J218" s="1" t="s">
        <v>9795</v>
      </c>
      <c r="K218" s="2" t="s">
        <v>7447</v>
      </c>
      <c r="L218" s="9" t="s">
        <v>8172</v>
      </c>
      <c r="P218" s="7" t="s">
        <v>1241</v>
      </c>
      <c r="AV218" s="1" t="s">
        <v>1502</v>
      </c>
      <c r="BG218" s="7" t="s">
        <v>1503</v>
      </c>
      <c r="BH218" s="1" t="s">
        <v>2648</v>
      </c>
      <c r="BI218" s="1" t="s">
        <v>2654</v>
      </c>
      <c r="BJ218" s="1" t="s">
        <v>2044</v>
      </c>
      <c r="BK218" s="2" t="s">
        <v>2655</v>
      </c>
    </row>
    <row r="219" spans="1:67" ht="180" x14ac:dyDescent="0.45">
      <c r="A219" s="5">
        <v>218</v>
      </c>
      <c r="B219" s="8" t="s">
        <v>157</v>
      </c>
      <c r="C219" s="6" t="s">
        <v>1816</v>
      </c>
      <c r="D219" s="7" t="s">
        <v>9794</v>
      </c>
      <c r="E219" s="1" t="s">
        <v>1397</v>
      </c>
      <c r="F219" s="1" t="s">
        <v>1398</v>
      </c>
      <c r="G219" s="1"/>
      <c r="J219" s="1" t="s">
        <v>9795</v>
      </c>
      <c r="K219" s="2" t="s">
        <v>7448</v>
      </c>
      <c r="L219" s="3" t="s">
        <v>8173</v>
      </c>
      <c r="M219" s="1" t="s">
        <v>12230</v>
      </c>
      <c r="P219" s="7" t="s">
        <v>1241</v>
      </c>
      <c r="Q219" s="14"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R219" s="14"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S219" s="13"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AU219" s="15"/>
      <c r="AV219" s="1" t="s">
        <v>1502</v>
      </c>
      <c r="BG219" s="7" t="s">
        <v>1503</v>
      </c>
      <c r="BH219" s="1" t="s">
        <v>2034</v>
      </c>
      <c r="BI219" s="2" t="s">
        <v>7449</v>
      </c>
      <c r="BJ219" s="1" t="s">
        <v>1504</v>
      </c>
      <c r="BK219" s="1" t="s">
        <v>2656</v>
      </c>
      <c r="BL219" s="1" t="s">
        <v>2044</v>
      </c>
      <c r="BM219" s="2" t="s">
        <v>2657</v>
      </c>
      <c r="BN219" s="1" t="s">
        <v>1865</v>
      </c>
      <c r="BO219" s="2" t="s">
        <v>2658</v>
      </c>
    </row>
    <row r="220" spans="1:67" ht="144" x14ac:dyDescent="0.45">
      <c r="A220" s="5">
        <v>219</v>
      </c>
      <c r="B220" s="8" t="s">
        <v>158</v>
      </c>
      <c r="C220" s="6" t="s">
        <v>1816</v>
      </c>
      <c r="D220" s="7" t="s">
        <v>9794</v>
      </c>
      <c r="E220" s="1" t="s">
        <v>1251</v>
      </c>
      <c r="F220" s="1" t="s">
        <v>1406</v>
      </c>
      <c r="G220" s="1"/>
      <c r="J220" s="1" t="s">
        <v>9795</v>
      </c>
      <c r="K220" s="2" t="s">
        <v>7450</v>
      </c>
      <c r="L220" s="3" t="s">
        <v>8174</v>
      </c>
      <c r="P220" s="7" t="s">
        <v>1241</v>
      </c>
      <c r="AU220" s="15"/>
      <c r="AV220" s="1" t="s">
        <v>1502</v>
      </c>
      <c r="BG220" s="7" t="s">
        <v>1503</v>
      </c>
      <c r="BH220" s="1" t="s">
        <v>2034</v>
      </c>
      <c r="BI220" s="2" t="s">
        <v>7451</v>
      </c>
      <c r="BJ220" s="1" t="s">
        <v>1504</v>
      </c>
      <c r="BK220" s="1" t="s">
        <v>2659</v>
      </c>
      <c r="BL220" s="1" t="s">
        <v>2044</v>
      </c>
      <c r="BM220" s="2" t="s">
        <v>2660</v>
      </c>
    </row>
    <row r="221" spans="1:67" ht="108" x14ac:dyDescent="0.45">
      <c r="A221" s="5">
        <v>220</v>
      </c>
      <c r="B221" s="8" t="s">
        <v>159</v>
      </c>
      <c r="C221" s="6" t="s">
        <v>1816</v>
      </c>
      <c r="D221" s="7" t="s">
        <v>9794</v>
      </c>
      <c r="E221" s="1" t="s">
        <v>159</v>
      </c>
      <c r="F221" s="1"/>
      <c r="G221" s="1"/>
      <c r="J221" s="1" t="s">
        <v>9795</v>
      </c>
      <c r="K221" s="2" t="s">
        <v>7452</v>
      </c>
      <c r="L221" s="4" t="s">
        <v>8175</v>
      </c>
      <c r="M221" s="1" t="s">
        <v>12231</v>
      </c>
      <c r="P221" s="7" t="s">
        <v>1241</v>
      </c>
      <c r="Q221" s="14" t="str">
        <f>INDEX($L:$L, MATCH("esteem", $B:$B, 0))</f>
        <v>&lt;span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v>
      </c>
      <c r="R221" s="13" t="str">
        <f>INDEX($L:$L, MATCH("underestimate", $B:$B, 0))</f>
        <v>&lt;span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v>
      </c>
      <c r="S221" s="13" t="str">
        <f>INDEX($L:$L, MATCH("aim", $B:$B, 0))</f>
        <v>&lt;span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v>
      </c>
      <c r="AU221" s="15"/>
      <c r="AV221" s="1" t="s">
        <v>1502</v>
      </c>
      <c r="BG221" s="7" t="s">
        <v>1503</v>
      </c>
      <c r="BH221" s="1" t="s">
        <v>2034</v>
      </c>
      <c r="BI221" s="2" t="s">
        <v>2661</v>
      </c>
      <c r="BJ221" s="1" t="s">
        <v>1865</v>
      </c>
      <c r="BK221" s="2" t="s">
        <v>2662</v>
      </c>
    </row>
    <row r="222" spans="1:67" ht="180" x14ac:dyDescent="0.45">
      <c r="A222" s="5">
        <v>221</v>
      </c>
      <c r="B222" s="8" t="s">
        <v>160</v>
      </c>
      <c r="C222" s="6" t="s">
        <v>1816</v>
      </c>
      <c r="D222" s="7" t="s">
        <v>9794</v>
      </c>
      <c r="E222" s="1" t="s">
        <v>1251</v>
      </c>
      <c r="F222" s="1" t="s">
        <v>1407</v>
      </c>
      <c r="G222" s="1"/>
      <c r="J222" s="1" t="s">
        <v>9795</v>
      </c>
      <c r="K222" s="2" t="s">
        <v>7453</v>
      </c>
      <c r="L222" s="3" t="s">
        <v>8176</v>
      </c>
      <c r="P222" s="7" t="s">
        <v>1241</v>
      </c>
      <c r="Q222" s="13"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AU222" s="15"/>
      <c r="AV222" s="1" t="s">
        <v>1502</v>
      </c>
      <c r="BG222" s="7" t="s">
        <v>1503</v>
      </c>
      <c r="BH222" s="1" t="s">
        <v>2034</v>
      </c>
      <c r="BI222" s="2" t="s">
        <v>2663</v>
      </c>
      <c r="BJ222" s="1" t="s">
        <v>1504</v>
      </c>
      <c r="BK222" s="1" t="s">
        <v>2664</v>
      </c>
      <c r="BL222" s="1" t="s">
        <v>2044</v>
      </c>
      <c r="BM222" s="2" t="s">
        <v>2665</v>
      </c>
    </row>
    <row r="223" spans="1:67" ht="270" x14ac:dyDescent="0.45">
      <c r="A223" s="5">
        <v>222</v>
      </c>
      <c r="B223" s="8" t="s">
        <v>161</v>
      </c>
      <c r="C223" s="6" t="s">
        <v>1816</v>
      </c>
      <c r="D223" s="7" t="s">
        <v>9794</v>
      </c>
      <c r="E223" s="1" t="s">
        <v>1395</v>
      </c>
      <c r="F223" s="1" t="s">
        <v>1408</v>
      </c>
      <c r="G223" s="1"/>
      <c r="J223" s="1" t="s">
        <v>9795</v>
      </c>
      <c r="K223" s="2" t="s">
        <v>7454</v>
      </c>
      <c r="L223" s="4" t="s">
        <v>8177</v>
      </c>
      <c r="M223" s="1" t="s">
        <v>12232</v>
      </c>
      <c r="P223" s="7" t="s">
        <v>1241</v>
      </c>
      <c r="Q223" s="14"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R223" s="1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S223" s="1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T223" s="1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U223" s="15"/>
      <c r="V223" s="15"/>
      <c r="W223" s="15"/>
      <c r="X223" s="15"/>
      <c r="Y223" s="15"/>
      <c r="Z223" s="15"/>
      <c r="AU223" s="15"/>
      <c r="AV223" s="1" t="s">
        <v>1502</v>
      </c>
      <c r="BG223" s="7" t="s">
        <v>1503</v>
      </c>
      <c r="BH223" s="1" t="s">
        <v>2034</v>
      </c>
      <c r="BI223" s="2" t="s">
        <v>2666</v>
      </c>
      <c r="BJ223" s="1" t="s">
        <v>2044</v>
      </c>
      <c r="BK223" s="2" t="s">
        <v>2667</v>
      </c>
      <c r="BL223" s="1" t="s">
        <v>1865</v>
      </c>
      <c r="BM223" s="2" t="s">
        <v>2668</v>
      </c>
    </row>
    <row r="224" spans="1:67" ht="234" x14ac:dyDescent="0.45">
      <c r="A224" s="5">
        <v>223</v>
      </c>
      <c r="B224" s="8" t="s">
        <v>1399</v>
      </c>
      <c r="C224" s="6" t="s">
        <v>1816</v>
      </c>
      <c r="D224" s="7" t="s">
        <v>9794</v>
      </c>
      <c r="E224" s="1" t="s">
        <v>1327</v>
      </c>
      <c r="F224" s="1" t="s">
        <v>28</v>
      </c>
      <c r="G224" s="1"/>
      <c r="J224" s="1" t="s">
        <v>9795</v>
      </c>
      <c r="K224" s="1" t="s">
        <v>7455</v>
      </c>
      <c r="L224" s="4" t="s">
        <v>8178</v>
      </c>
      <c r="P224" s="7" t="s">
        <v>1241</v>
      </c>
      <c r="Q224" s="14"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224" s="14"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224" s="14"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T224" s="14"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U224" s="14"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AU224" s="15"/>
      <c r="AV224" s="1" t="s">
        <v>1502</v>
      </c>
      <c r="BG224" s="7" t="s">
        <v>1503</v>
      </c>
      <c r="BH224" s="1" t="s">
        <v>2034</v>
      </c>
      <c r="BI224" s="2" t="s">
        <v>2669</v>
      </c>
      <c r="BJ224" s="1" t="s">
        <v>1504</v>
      </c>
      <c r="BK224" s="1" t="s">
        <v>2670</v>
      </c>
      <c r="BL224" s="1" t="s">
        <v>2321</v>
      </c>
      <c r="BM224" s="1" t="s">
        <v>2671</v>
      </c>
      <c r="BN224" s="1" t="s">
        <v>2044</v>
      </c>
      <c r="BO224" s="2" t="s">
        <v>2672</v>
      </c>
    </row>
    <row r="225" spans="1:67" ht="270" x14ac:dyDescent="0.45">
      <c r="A225" s="5">
        <v>224</v>
      </c>
      <c r="B225" s="8" t="s">
        <v>1409</v>
      </c>
      <c r="C225" s="6" t="s">
        <v>1816</v>
      </c>
      <c r="D225" s="7" t="s">
        <v>9794</v>
      </c>
      <c r="E225" s="1" t="s">
        <v>5185</v>
      </c>
      <c r="F225" s="1" t="s">
        <v>8951</v>
      </c>
      <c r="G225" s="1"/>
      <c r="J225" s="1" t="s">
        <v>9795</v>
      </c>
      <c r="K225" s="2" t="s">
        <v>7456</v>
      </c>
      <c r="L225" s="4" t="s">
        <v>10471</v>
      </c>
      <c r="M225" s="1" t="s">
        <v>12190</v>
      </c>
      <c r="P225" s="7" t="s">
        <v>1241</v>
      </c>
      <c r="Q225"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225" s="1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225"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225" s="14"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225" s="1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225" s="1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W225" s="14"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225" s="14"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225"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225"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U225" s="15"/>
      <c r="AV225" s="1" t="s">
        <v>1502</v>
      </c>
      <c r="BG225" s="7" t="s">
        <v>1503</v>
      </c>
      <c r="BH225" s="1" t="s">
        <v>2569</v>
      </c>
      <c r="BI225" s="2" t="s">
        <v>2284</v>
      </c>
      <c r="BJ225" s="1" t="s">
        <v>2034</v>
      </c>
      <c r="BK225" s="2" t="s">
        <v>2673</v>
      </c>
      <c r="BL225" s="1" t="s">
        <v>1504</v>
      </c>
      <c r="BM225" s="1" t="s">
        <v>2674</v>
      </c>
      <c r="BN225" s="1" t="s">
        <v>1865</v>
      </c>
      <c r="BO225" s="2" t="s">
        <v>2675</v>
      </c>
    </row>
    <row r="226" spans="1:67" ht="108" x14ac:dyDescent="0.45">
      <c r="A226" s="5">
        <v>225</v>
      </c>
      <c r="B226" s="8" t="s">
        <v>162</v>
      </c>
      <c r="C226" s="6" t="s">
        <v>1816</v>
      </c>
      <c r="D226" s="7" t="s">
        <v>9794</v>
      </c>
      <c r="E226" s="1" t="s">
        <v>162</v>
      </c>
      <c r="F226" s="1"/>
      <c r="G226" s="1"/>
      <c r="J226" s="1" t="s">
        <v>9795</v>
      </c>
      <c r="K226" s="2" t="s">
        <v>7457</v>
      </c>
      <c r="L226" s="9" t="s">
        <v>8179</v>
      </c>
      <c r="P226" s="7" t="s">
        <v>1241</v>
      </c>
      <c r="AV226" s="1" t="s">
        <v>1502</v>
      </c>
      <c r="BG226" s="7" t="s">
        <v>1503</v>
      </c>
      <c r="BH226" s="1" t="s">
        <v>2129</v>
      </c>
      <c r="BI226" s="1" t="s">
        <v>2676</v>
      </c>
      <c r="BJ226" s="1" t="s">
        <v>2044</v>
      </c>
      <c r="BK226" s="2" t="s">
        <v>2677</v>
      </c>
      <c r="BL226" s="1" t="s">
        <v>2419</v>
      </c>
      <c r="BM226" s="2" t="s">
        <v>2678</v>
      </c>
    </row>
    <row r="227" spans="1:67" ht="270" x14ac:dyDescent="0.45">
      <c r="A227" s="5">
        <v>226</v>
      </c>
      <c r="B227" s="8" t="s">
        <v>163</v>
      </c>
      <c r="C227" s="6" t="s">
        <v>1816</v>
      </c>
      <c r="D227" s="7" t="s">
        <v>9794</v>
      </c>
      <c r="E227" s="1" t="s">
        <v>1327</v>
      </c>
      <c r="F227" s="1" t="s">
        <v>1410</v>
      </c>
      <c r="G227" s="1"/>
      <c r="J227" s="1" t="s">
        <v>9795</v>
      </c>
      <c r="K227" s="2" t="s">
        <v>7458</v>
      </c>
      <c r="L227" s="3" t="s">
        <v>8180</v>
      </c>
      <c r="M227" s="1" t="s">
        <v>12227</v>
      </c>
      <c r="P227" s="7" t="s">
        <v>1241</v>
      </c>
      <c r="Q227" s="14"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R227" s="14"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S227" s="13"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T227" s="13"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AU227" s="15"/>
      <c r="AV227" s="1" t="s">
        <v>1502</v>
      </c>
      <c r="BG227" s="7" t="s">
        <v>1503</v>
      </c>
      <c r="BH227" s="1" t="s">
        <v>2034</v>
      </c>
      <c r="BI227" s="2" t="s">
        <v>2679</v>
      </c>
      <c r="BJ227" s="1" t="s">
        <v>1980</v>
      </c>
      <c r="BK227" s="1" t="s">
        <v>2680</v>
      </c>
      <c r="BL227" s="1" t="s">
        <v>1504</v>
      </c>
      <c r="BM227" s="1" t="s">
        <v>2681</v>
      </c>
      <c r="BN227" s="1" t="s">
        <v>2044</v>
      </c>
      <c r="BO227" s="2" t="s">
        <v>2682</v>
      </c>
    </row>
    <row r="228" spans="1:67" ht="162" x14ac:dyDescent="0.45">
      <c r="A228" s="5">
        <v>227</v>
      </c>
      <c r="B228" s="8" t="s">
        <v>1411</v>
      </c>
      <c r="C228" s="6" t="s">
        <v>1816</v>
      </c>
      <c r="D228" s="7" t="s">
        <v>9794</v>
      </c>
      <c r="E228" s="1" t="s">
        <v>1459</v>
      </c>
      <c r="F228" s="1" t="s">
        <v>8952</v>
      </c>
      <c r="G228" s="1"/>
      <c r="J228" s="1" t="s">
        <v>9795</v>
      </c>
      <c r="K228" s="2" t="s">
        <v>7459</v>
      </c>
      <c r="L228" s="4" t="s">
        <v>8181</v>
      </c>
      <c r="P228" s="7" t="s">
        <v>1241</v>
      </c>
      <c r="Q228" s="22" t="str">
        <f>INDEX($L:$L, MATCH("attitude", $B:$B, 0))</f>
        <v>&lt;span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v>
      </c>
      <c r="AU228" s="15"/>
      <c r="AV228" s="1" t="s">
        <v>1502</v>
      </c>
      <c r="BG228" s="7" t="s">
        <v>1503</v>
      </c>
      <c r="BH228" s="1" t="s">
        <v>2034</v>
      </c>
      <c r="BI228" s="2" t="s">
        <v>2683</v>
      </c>
      <c r="BJ228" s="1" t="s">
        <v>1504</v>
      </c>
      <c r="BK228" s="1" t="s">
        <v>2684</v>
      </c>
      <c r="BL228" s="1" t="s">
        <v>2044</v>
      </c>
      <c r="BM228" s="2" t="s">
        <v>2685</v>
      </c>
    </row>
    <row r="229" spans="1:67" ht="198" x14ac:dyDescent="0.45">
      <c r="A229" s="5">
        <v>228</v>
      </c>
      <c r="B229" s="8" t="s">
        <v>164</v>
      </c>
      <c r="C229" s="6" t="s">
        <v>1816</v>
      </c>
      <c r="D229" s="7" t="s">
        <v>9794</v>
      </c>
      <c r="E229" s="1" t="s">
        <v>46</v>
      </c>
      <c r="F229" s="1" t="s">
        <v>1412</v>
      </c>
      <c r="G229" s="1"/>
      <c r="J229" s="1" t="s">
        <v>9795</v>
      </c>
      <c r="K229" s="2" t="s">
        <v>7460</v>
      </c>
      <c r="L229" s="3" t="s">
        <v>8182</v>
      </c>
      <c r="M229" s="1" t="s">
        <v>12233</v>
      </c>
      <c r="P229" s="7" t="s">
        <v>1241</v>
      </c>
      <c r="Q229" s="14" t="str">
        <f>INDEX($L:$L, MATCH("tribe", $B:$B, 0))</f>
        <v>&lt;span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v>
      </c>
      <c r="R229" s="13" t="str">
        <f>INDEX($L:$L, MATCH("attribute", $B:$B, 0))</f>
        <v>&lt;span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v>
      </c>
      <c r="S229" s="13" t="str">
        <f>INDEX($L:$L, MATCH("distribute", $B:$B, 0))</f>
        <v>&lt;span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v>
      </c>
      <c r="AU229" s="15"/>
      <c r="AV229" s="1" t="s">
        <v>1502</v>
      </c>
      <c r="BG229" s="7" t="s">
        <v>1503</v>
      </c>
      <c r="BH229" s="1" t="s">
        <v>2034</v>
      </c>
      <c r="BI229" s="2" t="s">
        <v>4563</v>
      </c>
      <c r="BJ229" s="1" t="s">
        <v>1865</v>
      </c>
      <c r="BK229" s="2" t="s">
        <v>2686</v>
      </c>
    </row>
    <row r="230" spans="1:67" ht="126" x14ac:dyDescent="0.45">
      <c r="A230" s="5">
        <v>229</v>
      </c>
      <c r="B230" s="8" t="s">
        <v>165</v>
      </c>
      <c r="C230" s="6" t="s">
        <v>1816</v>
      </c>
      <c r="D230" s="7" t="s">
        <v>9794</v>
      </c>
      <c r="E230" s="1" t="s">
        <v>1413</v>
      </c>
      <c r="F230" s="1" t="s">
        <v>1414</v>
      </c>
      <c r="G230" s="1"/>
      <c r="J230" s="1" t="s">
        <v>9795</v>
      </c>
      <c r="K230" s="2" t="s">
        <v>7461</v>
      </c>
      <c r="L230" s="9" t="s">
        <v>10502</v>
      </c>
      <c r="P230" s="7" t="s">
        <v>1241</v>
      </c>
      <c r="AU230" s="15"/>
      <c r="AV230" s="1" t="s">
        <v>1502</v>
      </c>
      <c r="BG230" s="7" t="s">
        <v>1503</v>
      </c>
      <c r="BH230" s="1" t="s">
        <v>2687</v>
      </c>
      <c r="BI230" s="2" t="s">
        <v>2688</v>
      </c>
      <c r="BJ230" s="1" t="s">
        <v>1504</v>
      </c>
      <c r="BK230" s="1" t="s">
        <v>2689</v>
      </c>
      <c r="BL230" s="1" t="s">
        <v>2044</v>
      </c>
      <c r="BM230" s="2" t="s">
        <v>2690</v>
      </c>
      <c r="BN230" s="1" t="s">
        <v>1877</v>
      </c>
      <c r="BO230" s="2" t="s">
        <v>7462</v>
      </c>
    </row>
    <row r="231" spans="1:67" ht="324" x14ac:dyDescent="0.45">
      <c r="A231" s="5">
        <v>230</v>
      </c>
      <c r="B231" s="8" t="s">
        <v>1415</v>
      </c>
      <c r="C231" s="6" t="s">
        <v>1816</v>
      </c>
      <c r="D231" s="7" t="s">
        <v>9794</v>
      </c>
      <c r="E231" s="1" t="s">
        <v>1505</v>
      </c>
      <c r="F231" s="1" t="s">
        <v>8953</v>
      </c>
      <c r="G231" s="1"/>
      <c r="J231" s="1" t="s">
        <v>9795</v>
      </c>
      <c r="K231" s="2" t="s">
        <v>7463</v>
      </c>
      <c r="L231" s="4" t="s">
        <v>8183</v>
      </c>
      <c r="M231" s="1" t="s">
        <v>12209</v>
      </c>
      <c r="P231" s="7" t="s">
        <v>1241</v>
      </c>
      <c r="Q231" s="1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231" s="1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231" s="1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231"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U231"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231" s="14"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231" s="14"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X231" s="15"/>
      <c r="AU231" s="15"/>
      <c r="AV231" s="1" t="s">
        <v>1502</v>
      </c>
      <c r="BG231" s="7" t="s">
        <v>1503</v>
      </c>
      <c r="BH231" s="1" t="s">
        <v>2034</v>
      </c>
      <c r="BI231" s="2" t="s">
        <v>2691</v>
      </c>
      <c r="BJ231" s="1" t="s">
        <v>1980</v>
      </c>
      <c r="BK231" s="2" t="s">
        <v>2692</v>
      </c>
      <c r="BL231" s="1" t="s">
        <v>1504</v>
      </c>
      <c r="BM231" s="1" t="s">
        <v>2693</v>
      </c>
      <c r="BN231" s="1" t="s">
        <v>2044</v>
      </c>
      <c r="BO231" s="2" t="s">
        <v>2694</v>
      </c>
    </row>
    <row r="232" spans="1:67" ht="126" x14ac:dyDescent="0.45">
      <c r="A232" s="5">
        <v>231</v>
      </c>
      <c r="B232" s="8" t="s">
        <v>166</v>
      </c>
      <c r="C232" s="6" t="s">
        <v>1816</v>
      </c>
      <c r="D232" s="7" t="s">
        <v>9794</v>
      </c>
      <c r="E232" s="1" t="s">
        <v>1251</v>
      </c>
      <c r="F232" s="1" t="s">
        <v>1416</v>
      </c>
      <c r="G232" s="1"/>
      <c r="J232" s="1" t="s">
        <v>9795</v>
      </c>
      <c r="K232" s="2" t="s">
        <v>7464</v>
      </c>
      <c r="L232" s="9" t="s">
        <v>8184</v>
      </c>
      <c r="P232" s="7" t="s">
        <v>1241</v>
      </c>
      <c r="Q232" s="13" t="str">
        <f>INDEX($L:$L, MATCH("correspond", $B:$B, 0))</f>
        <v>&lt;span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v>
      </c>
      <c r="AU232" s="15"/>
      <c r="AV232" s="1" t="s">
        <v>1502</v>
      </c>
      <c r="BG232" s="7" t="s">
        <v>1503</v>
      </c>
      <c r="BH232" s="1" t="s">
        <v>2034</v>
      </c>
      <c r="BI232" s="2" t="s">
        <v>2695</v>
      </c>
      <c r="BJ232" s="1" t="s">
        <v>1504</v>
      </c>
      <c r="BK232" s="1" t="s">
        <v>2696</v>
      </c>
      <c r="BL232" s="1" t="s">
        <v>2321</v>
      </c>
      <c r="BM232" s="1" t="s">
        <v>2697</v>
      </c>
      <c r="BN232" s="1" t="s">
        <v>2044</v>
      </c>
      <c r="BO232" s="2" t="s">
        <v>2698</v>
      </c>
    </row>
    <row r="233" spans="1:67" ht="72" x14ac:dyDescent="0.45">
      <c r="A233" s="5">
        <v>232</v>
      </c>
      <c r="B233" s="8" t="s">
        <v>167</v>
      </c>
      <c r="C233" s="6" t="s">
        <v>1816</v>
      </c>
      <c r="D233" s="7" t="s">
        <v>9794</v>
      </c>
      <c r="E233" s="1" t="s">
        <v>167</v>
      </c>
      <c r="F233" s="1"/>
      <c r="G233" s="1"/>
      <c r="J233" s="1" t="s">
        <v>9795</v>
      </c>
      <c r="K233" s="2" t="s">
        <v>7447</v>
      </c>
      <c r="L233" s="9" t="s">
        <v>8185</v>
      </c>
      <c r="P233" s="7" t="s">
        <v>1241</v>
      </c>
      <c r="AV233" s="1" t="s">
        <v>1502</v>
      </c>
      <c r="BG233" s="7" t="s">
        <v>1503</v>
      </c>
      <c r="BH233" s="1" t="s">
        <v>2569</v>
      </c>
      <c r="BI233" s="1" t="s">
        <v>2699</v>
      </c>
      <c r="BJ233" s="1" t="s">
        <v>2129</v>
      </c>
      <c r="BK233" s="1" t="s">
        <v>7465</v>
      </c>
    </row>
    <row r="234" spans="1:67" ht="180" x14ac:dyDescent="0.45">
      <c r="A234" s="5">
        <v>233</v>
      </c>
      <c r="B234" s="8" t="s">
        <v>1417</v>
      </c>
      <c r="C234" s="6" t="s">
        <v>1816</v>
      </c>
      <c r="D234" s="7" t="s">
        <v>9794</v>
      </c>
      <c r="E234" s="1" t="s">
        <v>168</v>
      </c>
      <c r="F234" s="1"/>
      <c r="G234" s="1"/>
      <c r="J234" s="1" t="s">
        <v>9795</v>
      </c>
      <c r="K234" s="2" t="s">
        <v>7466</v>
      </c>
      <c r="L234" s="9" t="s">
        <v>8186</v>
      </c>
      <c r="P234" s="7" t="s">
        <v>1241</v>
      </c>
      <c r="AU234" s="15"/>
      <c r="AV234" s="1" t="s">
        <v>1502</v>
      </c>
      <c r="BG234" s="7" t="s">
        <v>1503</v>
      </c>
      <c r="BH234" s="1" t="s">
        <v>2034</v>
      </c>
      <c r="BI234" s="2" t="s">
        <v>2700</v>
      </c>
      <c r="BJ234" s="1" t="s">
        <v>1504</v>
      </c>
      <c r="BK234" s="1" t="s">
        <v>2701</v>
      </c>
      <c r="BL234" s="1" t="s">
        <v>2044</v>
      </c>
      <c r="BM234" s="2" t="s">
        <v>2702</v>
      </c>
    </row>
    <row r="235" spans="1:67" ht="216" x14ac:dyDescent="0.45">
      <c r="A235" s="5">
        <v>234</v>
      </c>
      <c r="B235" s="8" t="s">
        <v>1418</v>
      </c>
      <c r="C235" s="6" t="s">
        <v>1816</v>
      </c>
      <c r="D235" s="7" t="s">
        <v>9794</v>
      </c>
      <c r="E235" s="1" t="s">
        <v>1251</v>
      </c>
      <c r="F235" s="1" t="s">
        <v>8954</v>
      </c>
      <c r="G235" s="1"/>
      <c r="J235" s="1" t="s">
        <v>9795</v>
      </c>
      <c r="K235" s="2" t="s">
        <v>7467</v>
      </c>
      <c r="L235" s="4" t="s">
        <v>8187</v>
      </c>
      <c r="M235" s="1" t="s">
        <v>12220</v>
      </c>
      <c r="P235" s="7" t="s">
        <v>1241</v>
      </c>
      <c r="Q235" s="14"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235" s="14"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235" s="14"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235" s="14"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U235" s="14"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V235" s="14"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235" s="13"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235" s="15"/>
      <c r="AV235" s="1" t="s">
        <v>1502</v>
      </c>
      <c r="BG235" s="7" t="s">
        <v>1503</v>
      </c>
      <c r="BH235" s="1" t="s">
        <v>2034</v>
      </c>
      <c r="BI235" s="2" t="s">
        <v>7468</v>
      </c>
      <c r="BJ235" s="1" t="s">
        <v>1504</v>
      </c>
      <c r="BK235" s="1" t="s">
        <v>2703</v>
      </c>
      <c r="BL235" s="1" t="s">
        <v>2044</v>
      </c>
      <c r="BM235" s="2" t="s">
        <v>2704</v>
      </c>
    </row>
    <row r="236" spans="1:67" ht="90" x14ac:dyDescent="0.45">
      <c r="A236" s="5">
        <v>235</v>
      </c>
      <c r="B236" s="8" t="s">
        <v>169</v>
      </c>
      <c r="C236" s="6" t="s">
        <v>1816</v>
      </c>
      <c r="D236" s="7" t="s">
        <v>9794</v>
      </c>
      <c r="E236" s="1" t="s">
        <v>169</v>
      </c>
      <c r="F236" s="1"/>
      <c r="G236" s="1"/>
      <c r="J236" s="1" t="s">
        <v>9795</v>
      </c>
      <c r="K236" s="2" t="s">
        <v>7469</v>
      </c>
      <c r="L236" s="9" t="s">
        <v>8188</v>
      </c>
      <c r="P236" s="7" t="s">
        <v>1241</v>
      </c>
      <c r="AV236" s="1" t="s">
        <v>1502</v>
      </c>
      <c r="BG236" s="7" t="s">
        <v>1503</v>
      </c>
      <c r="BH236" s="1" t="s">
        <v>2129</v>
      </c>
      <c r="BI236" s="1" t="s">
        <v>2705</v>
      </c>
      <c r="BJ236" s="1" t="s">
        <v>2044</v>
      </c>
      <c r="BK236" s="2" t="s">
        <v>2706</v>
      </c>
      <c r="BL236" s="1" t="s">
        <v>1883</v>
      </c>
      <c r="BM236" s="2" t="s">
        <v>2707</v>
      </c>
    </row>
    <row r="237" spans="1:67" ht="216" x14ac:dyDescent="0.45">
      <c r="A237" s="5">
        <v>236</v>
      </c>
      <c r="B237" s="8" t="s">
        <v>170</v>
      </c>
      <c r="C237" s="6" t="s">
        <v>1816</v>
      </c>
      <c r="D237" s="7" t="s">
        <v>9794</v>
      </c>
      <c r="E237" s="1" t="s">
        <v>1392</v>
      </c>
      <c r="F237" s="1" t="s">
        <v>1419</v>
      </c>
      <c r="G237" s="1"/>
      <c r="J237" s="1" t="s">
        <v>9795</v>
      </c>
      <c r="K237" s="2" t="s">
        <v>7475</v>
      </c>
      <c r="L237" s="3" t="s">
        <v>8189</v>
      </c>
      <c r="M237" s="1" t="s">
        <v>12234</v>
      </c>
      <c r="P237" s="7" t="s">
        <v>1241</v>
      </c>
      <c r="Q237" s="14" t="str">
        <f>INDEX($L:$L, MATCH("consume", $B:$B, 0))</f>
        <v>&lt;span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v>
      </c>
      <c r="R237" s="13" t="str">
        <f>INDEX($L:$L, MATCH("prompt", $B:$B, 0))</f>
        <v>&lt;span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v>
      </c>
      <c r="AU237" s="15"/>
      <c r="AV237" s="1" t="s">
        <v>1502</v>
      </c>
      <c r="BG237" s="7" t="s">
        <v>1503</v>
      </c>
      <c r="BH237" s="1" t="s">
        <v>2034</v>
      </c>
      <c r="BI237" s="2" t="s">
        <v>2708</v>
      </c>
      <c r="BJ237" s="1" t="s">
        <v>2044</v>
      </c>
      <c r="BK237" s="2" t="s">
        <v>2709</v>
      </c>
      <c r="BL237" s="1" t="s">
        <v>1883</v>
      </c>
      <c r="BM237" s="2" t="s">
        <v>2710</v>
      </c>
    </row>
    <row r="238" spans="1:67" ht="126" x14ac:dyDescent="0.45">
      <c r="A238" s="5">
        <v>237</v>
      </c>
      <c r="B238" s="8" t="s">
        <v>171</v>
      </c>
      <c r="C238" s="6" t="s">
        <v>1816</v>
      </c>
      <c r="D238" s="7" t="s">
        <v>9794</v>
      </c>
      <c r="E238" s="1" t="s">
        <v>1251</v>
      </c>
      <c r="F238" s="1" t="s">
        <v>1420</v>
      </c>
      <c r="G238" s="1"/>
      <c r="J238" s="1" t="s">
        <v>9795</v>
      </c>
      <c r="K238" s="2" t="s">
        <v>7470</v>
      </c>
      <c r="L238" s="4" t="s">
        <v>8190</v>
      </c>
      <c r="P238" s="7" t="s">
        <v>1241</v>
      </c>
      <c r="Q238" s="13" t="str">
        <f>INDEX($L:$L, MATCH("release", $B:$B, 0))</f>
        <v>&lt;span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v>
      </c>
      <c r="AU238" s="15"/>
      <c r="AV238" s="1" t="s">
        <v>1502</v>
      </c>
      <c r="BG238" s="7" t="s">
        <v>1503</v>
      </c>
      <c r="BH238" s="1" t="s">
        <v>2034</v>
      </c>
      <c r="BI238" s="2" t="s">
        <v>2711</v>
      </c>
      <c r="BJ238" s="1" t="s">
        <v>1504</v>
      </c>
      <c r="BK238" s="1" t="s">
        <v>2712</v>
      </c>
      <c r="BL238" s="1" t="s">
        <v>2044</v>
      </c>
      <c r="BM238" s="2" t="s">
        <v>2713</v>
      </c>
      <c r="BN238" s="1" t="s">
        <v>1865</v>
      </c>
      <c r="BO238" s="2" t="s">
        <v>2714</v>
      </c>
    </row>
    <row r="239" spans="1:67" ht="180" x14ac:dyDescent="0.45">
      <c r="A239" s="5">
        <v>238</v>
      </c>
      <c r="B239" s="8" t="s">
        <v>172</v>
      </c>
      <c r="C239" s="6" t="s">
        <v>1816</v>
      </c>
      <c r="D239" s="7" t="s">
        <v>9794</v>
      </c>
      <c r="E239" s="1" t="s">
        <v>1421</v>
      </c>
      <c r="F239" s="1" t="s">
        <v>1422</v>
      </c>
      <c r="G239" s="1"/>
      <c r="J239" s="1" t="s">
        <v>9795</v>
      </c>
      <c r="K239" s="2" t="s">
        <v>7471</v>
      </c>
      <c r="L239" s="9" t="s">
        <v>8191</v>
      </c>
      <c r="P239" s="7" t="s">
        <v>1241</v>
      </c>
      <c r="Q239" s="13" t="str">
        <f>INDEX($L:$L, MATCH("asset", $B:$B, 0))</f>
        <v>&lt;span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v>
      </c>
      <c r="AU239" s="15"/>
      <c r="AV239" s="1" t="s">
        <v>1502</v>
      </c>
      <c r="BG239" s="7" t="s">
        <v>1503</v>
      </c>
      <c r="BH239" s="1" t="s">
        <v>2034</v>
      </c>
      <c r="BI239" s="2" t="s">
        <v>2715</v>
      </c>
      <c r="BJ239" s="1" t="s">
        <v>1504</v>
      </c>
      <c r="BK239" s="1" t="s">
        <v>2716</v>
      </c>
      <c r="BL239" s="1" t="s">
        <v>2044</v>
      </c>
      <c r="BM239" s="2" t="s">
        <v>2717</v>
      </c>
    </row>
    <row r="240" spans="1:67" ht="144" x14ac:dyDescent="0.45">
      <c r="A240" s="5">
        <v>239</v>
      </c>
      <c r="B240" s="8" t="s">
        <v>1423</v>
      </c>
      <c r="C240" s="6" t="s">
        <v>1816</v>
      </c>
      <c r="D240" s="7" t="s">
        <v>9794</v>
      </c>
      <c r="E240" s="1" t="s">
        <v>1327</v>
      </c>
      <c r="F240" s="1" t="s">
        <v>8955</v>
      </c>
      <c r="G240" s="1"/>
      <c r="J240" s="1" t="s">
        <v>9795</v>
      </c>
      <c r="K240" s="2" t="s">
        <v>7472</v>
      </c>
      <c r="L240" s="3" t="s">
        <v>8192</v>
      </c>
      <c r="P240" s="7" t="s">
        <v>1241</v>
      </c>
      <c r="Q240" s="13" t="e">
        <f>INDEX($L:$L, MATCH("conside", $B:$B, 0))</f>
        <v>#N/A</v>
      </c>
      <c r="AU240" s="15"/>
      <c r="AV240" s="1" t="s">
        <v>1502</v>
      </c>
      <c r="BG240" s="7" t="s">
        <v>1503</v>
      </c>
      <c r="BH240" s="1" t="s">
        <v>2034</v>
      </c>
      <c r="BI240" s="2" t="s">
        <v>2718</v>
      </c>
      <c r="BJ240" s="1" t="s">
        <v>1504</v>
      </c>
      <c r="BK240" s="1" t="s">
        <v>2719</v>
      </c>
      <c r="BL240" s="1" t="s">
        <v>2044</v>
      </c>
      <c r="BM240" s="2" t="s">
        <v>2720</v>
      </c>
    </row>
    <row r="241" spans="1:71" ht="396" x14ac:dyDescent="0.45">
      <c r="A241" s="5">
        <v>240</v>
      </c>
      <c r="B241" s="8" t="s">
        <v>1424</v>
      </c>
      <c r="C241" s="6" t="s">
        <v>1816</v>
      </c>
      <c r="D241" s="7" t="s">
        <v>9794</v>
      </c>
      <c r="E241" s="1" t="s">
        <v>8956</v>
      </c>
      <c r="F241" s="1" t="s">
        <v>5057</v>
      </c>
      <c r="G241" s="1"/>
      <c r="J241" s="1" t="s">
        <v>9795</v>
      </c>
      <c r="K241" s="2" t="s">
        <v>7473</v>
      </c>
      <c r="L241" s="3" t="s">
        <v>12130</v>
      </c>
      <c r="M241" s="1" t="s">
        <v>12223</v>
      </c>
      <c r="P241" s="7" t="s">
        <v>1241</v>
      </c>
      <c r="Q241" s="1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R241" s="1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S241" s="1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T241" s="1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U241" s="1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V241" s="1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241" s="1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241" s="1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241" s="1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241"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A241" s="15"/>
      <c r="AB241" s="15"/>
      <c r="AU241" s="15"/>
      <c r="AV241" s="1" t="s">
        <v>1502</v>
      </c>
      <c r="BG241" s="7" t="s">
        <v>1503</v>
      </c>
      <c r="BH241" s="1" t="s">
        <v>2034</v>
      </c>
      <c r="BI241" s="2" t="s">
        <v>7474</v>
      </c>
      <c r="BJ241" s="1" t="s">
        <v>1504</v>
      </c>
      <c r="BK241" s="2" t="s">
        <v>2721</v>
      </c>
      <c r="BL241" s="1" t="s">
        <v>2044</v>
      </c>
      <c r="BM241" s="2" t="s">
        <v>2722</v>
      </c>
    </row>
    <row r="242" spans="1:71" ht="270" x14ac:dyDescent="0.45">
      <c r="A242" s="5">
        <v>241</v>
      </c>
      <c r="B242" s="8" t="s">
        <v>173</v>
      </c>
      <c r="C242" s="6" t="s">
        <v>6851</v>
      </c>
      <c r="D242" s="7" t="s">
        <v>9794</v>
      </c>
      <c r="E242" s="1" t="s">
        <v>46</v>
      </c>
      <c r="F242" s="1" t="s">
        <v>1425</v>
      </c>
      <c r="G242" s="1"/>
      <c r="J242" s="1" t="s">
        <v>9795</v>
      </c>
      <c r="K242" s="2" t="s">
        <v>7476</v>
      </c>
      <c r="L242" s="4" t="s">
        <v>8193</v>
      </c>
      <c r="M242" s="1" t="s">
        <v>12235</v>
      </c>
      <c r="P242" s="7" t="s">
        <v>1241</v>
      </c>
      <c r="Q242" s="1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R242" s="1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S242" s="1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T242" s="1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U242" s="15"/>
      <c r="V242" s="15"/>
      <c r="W242" s="15"/>
      <c r="X242" s="15"/>
      <c r="Y242" s="15"/>
      <c r="Z242" s="15"/>
      <c r="AC242" s="15"/>
      <c r="AD242" s="15"/>
      <c r="AE242" s="15"/>
      <c r="AF242" s="15"/>
      <c r="AG242" s="15"/>
      <c r="AU242" s="15"/>
      <c r="AV242" s="1" t="s">
        <v>1502</v>
      </c>
      <c r="BG242" s="7" t="s">
        <v>1503</v>
      </c>
      <c r="BH242" s="1" t="s">
        <v>2034</v>
      </c>
      <c r="BI242" s="2" t="s">
        <v>2723</v>
      </c>
      <c r="BJ242" s="1" t="s">
        <v>1980</v>
      </c>
      <c r="BK242" s="1" t="s">
        <v>2724</v>
      </c>
      <c r="BL242" s="1" t="s">
        <v>1865</v>
      </c>
      <c r="BM242" s="2" t="s">
        <v>2725</v>
      </c>
    </row>
    <row r="243" spans="1:71" ht="144" x14ac:dyDescent="0.45">
      <c r="A243" s="5">
        <v>242</v>
      </c>
      <c r="B243" s="8" t="s">
        <v>1578</v>
      </c>
      <c r="C243" s="6" t="s">
        <v>6851</v>
      </c>
      <c r="D243" s="7" t="s">
        <v>9794</v>
      </c>
      <c r="E243" s="1" t="s">
        <v>7477</v>
      </c>
      <c r="F243" s="1" t="s">
        <v>1584</v>
      </c>
      <c r="G243" s="1"/>
      <c r="J243" s="1" t="s">
        <v>9795</v>
      </c>
      <c r="K243" s="2" t="s">
        <v>7478</v>
      </c>
      <c r="L243" s="9" t="s">
        <v>8194</v>
      </c>
      <c r="P243" s="7" t="s">
        <v>1241</v>
      </c>
      <c r="AU243" s="15"/>
      <c r="AV243" s="1" t="s">
        <v>1502</v>
      </c>
      <c r="BG243" s="7" t="s">
        <v>1503</v>
      </c>
      <c r="BH243" s="1" t="s">
        <v>2034</v>
      </c>
      <c r="BI243" s="2" t="s">
        <v>7479</v>
      </c>
      <c r="BJ243" s="1" t="s">
        <v>1504</v>
      </c>
      <c r="BK243" s="2" t="s">
        <v>2726</v>
      </c>
      <c r="BL243" s="1" t="s">
        <v>2044</v>
      </c>
      <c r="BM243" s="2" t="s">
        <v>2727</v>
      </c>
    </row>
    <row r="244" spans="1:71" ht="108" x14ac:dyDescent="0.45">
      <c r="A244" s="5">
        <v>243</v>
      </c>
      <c r="B244" s="8" t="s">
        <v>174</v>
      </c>
      <c r="C244" s="6" t="s">
        <v>6851</v>
      </c>
      <c r="D244" s="7" t="s">
        <v>9794</v>
      </c>
      <c r="E244" s="6" t="s">
        <v>1327</v>
      </c>
      <c r="F244" s="1" t="s">
        <v>695</v>
      </c>
      <c r="G244" s="1"/>
      <c r="J244" s="1" t="s">
        <v>9795</v>
      </c>
      <c r="K244" s="2" t="s">
        <v>7480</v>
      </c>
      <c r="L244" s="4" t="s">
        <v>8195</v>
      </c>
      <c r="P244" s="7" t="s">
        <v>1241</v>
      </c>
      <c r="Q244" s="14" t="str">
        <f>INDEX($L:$L, MATCH("divide", $B:$B, 0))</f>
        <v>&lt;span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v>
      </c>
      <c r="R244" s="13" t="str">
        <f>INDEX($L:$L, MATCH("individual", $B:$B, 0))</f>
        <v>&lt;span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v>
      </c>
      <c r="AU244" s="15"/>
      <c r="AV244" s="1" t="s">
        <v>1502</v>
      </c>
      <c r="BG244" s="7" t="s">
        <v>1503</v>
      </c>
      <c r="BH244" s="1" t="s">
        <v>2034</v>
      </c>
      <c r="BI244" s="2" t="s">
        <v>2728</v>
      </c>
      <c r="BJ244" s="1" t="s">
        <v>2048</v>
      </c>
      <c r="BK244" s="2" t="s">
        <v>2729</v>
      </c>
      <c r="BL244" s="1" t="s">
        <v>1504</v>
      </c>
      <c r="BM244" s="2" t="s">
        <v>2730</v>
      </c>
      <c r="BN244" s="1" t="s">
        <v>2044</v>
      </c>
      <c r="BO244" s="2" t="s">
        <v>2731</v>
      </c>
      <c r="BP244" s="1" t="s">
        <v>1860</v>
      </c>
      <c r="BQ244" s="2" t="s">
        <v>2732</v>
      </c>
    </row>
    <row r="245" spans="1:71" ht="198" x14ac:dyDescent="0.45">
      <c r="A245" s="5">
        <v>244</v>
      </c>
      <c r="B245" s="8" t="s">
        <v>175</v>
      </c>
      <c r="C245" s="6" t="s">
        <v>6851</v>
      </c>
      <c r="D245" s="7" t="s">
        <v>9794</v>
      </c>
      <c r="E245" s="6" t="s">
        <v>175</v>
      </c>
      <c r="F245" s="1"/>
      <c r="G245" s="1"/>
      <c r="J245" s="1" t="s">
        <v>9795</v>
      </c>
      <c r="K245" s="2" t="s">
        <v>7481</v>
      </c>
      <c r="L245" s="3" t="s">
        <v>8196</v>
      </c>
      <c r="M245" s="1" t="s">
        <v>12204</v>
      </c>
      <c r="P245" s="7" t="s">
        <v>1241</v>
      </c>
      <c r="Q245" s="13"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245" s="13"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245" s="13"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AU245" s="15"/>
      <c r="AV245" s="1" t="s">
        <v>1502</v>
      </c>
      <c r="BG245" s="7" t="s">
        <v>1503</v>
      </c>
      <c r="BH245" s="1" t="s">
        <v>2034</v>
      </c>
      <c r="BI245" s="2" t="s">
        <v>2733</v>
      </c>
      <c r="BJ245" s="1" t="s">
        <v>2147</v>
      </c>
      <c r="BK245" s="1" t="s">
        <v>2734</v>
      </c>
      <c r="BL245" s="1" t="s">
        <v>1504</v>
      </c>
      <c r="BM245" s="2" t="s">
        <v>2735</v>
      </c>
      <c r="BN245" s="1" t="s">
        <v>2044</v>
      </c>
      <c r="BO245" s="2" t="s">
        <v>2736</v>
      </c>
      <c r="BP245" s="1" t="s">
        <v>1865</v>
      </c>
      <c r="BQ245" s="2" t="s">
        <v>2737</v>
      </c>
    </row>
    <row r="246" spans="1:71" ht="216" x14ac:dyDescent="0.45">
      <c r="A246" s="5">
        <v>245</v>
      </c>
      <c r="B246" s="8" t="s">
        <v>176</v>
      </c>
      <c r="C246" s="6" t="s">
        <v>6851</v>
      </c>
      <c r="D246" s="7" t="s">
        <v>9794</v>
      </c>
      <c r="E246" s="6" t="s">
        <v>1426</v>
      </c>
      <c r="F246" s="1" t="s">
        <v>1427</v>
      </c>
      <c r="G246" s="1"/>
      <c r="J246" s="1" t="s">
        <v>9795</v>
      </c>
      <c r="K246" s="2" t="s">
        <v>7482</v>
      </c>
      <c r="L246" s="4" t="s">
        <v>8197</v>
      </c>
      <c r="M246" s="1" t="s">
        <v>12236</v>
      </c>
      <c r="P246" s="7" t="s">
        <v>1241</v>
      </c>
      <c r="Q246" s="14"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R246"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S246" s="1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246" s="13"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U246"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AU246" s="15"/>
      <c r="AV246" s="1" t="s">
        <v>1502</v>
      </c>
      <c r="BG246" s="7" t="s">
        <v>1503</v>
      </c>
      <c r="BH246" s="1" t="s">
        <v>2034</v>
      </c>
      <c r="BI246" s="2" t="s">
        <v>2738</v>
      </c>
      <c r="BJ246" s="1" t="s">
        <v>2048</v>
      </c>
      <c r="BK246" s="1" t="s">
        <v>2739</v>
      </c>
      <c r="BL246" s="1" t="s">
        <v>2740</v>
      </c>
      <c r="BM246" s="1" t="s">
        <v>2741</v>
      </c>
      <c r="BN246" s="1" t="s">
        <v>2017</v>
      </c>
      <c r="BO246" s="1" t="s">
        <v>2742</v>
      </c>
      <c r="BP246" s="1" t="s">
        <v>1865</v>
      </c>
      <c r="BQ246" s="2" t="s">
        <v>2743</v>
      </c>
    </row>
    <row r="247" spans="1:71" ht="108" x14ac:dyDescent="0.45">
      <c r="A247" s="5">
        <v>246</v>
      </c>
      <c r="B247" s="8" t="s">
        <v>177</v>
      </c>
      <c r="C247" s="6" t="s">
        <v>6851</v>
      </c>
      <c r="D247" s="7" t="s">
        <v>9794</v>
      </c>
      <c r="E247" s="6" t="s">
        <v>1428</v>
      </c>
      <c r="F247" s="6" t="s">
        <v>524</v>
      </c>
      <c r="G247" s="1"/>
      <c r="J247" s="1" t="s">
        <v>9795</v>
      </c>
      <c r="K247" s="2" t="s">
        <v>7483</v>
      </c>
      <c r="L247" s="4" t="s">
        <v>8198</v>
      </c>
      <c r="P247" s="7" t="s">
        <v>1241</v>
      </c>
      <c r="Q247" s="15"/>
      <c r="R247" s="15"/>
      <c r="S247" s="15"/>
      <c r="T247" s="15"/>
      <c r="U247" s="15"/>
      <c r="V247" s="15"/>
      <c r="AU247" s="15"/>
      <c r="AV247" s="1" t="s">
        <v>1502</v>
      </c>
      <c r="BG247" s="7" t="s">
        <v>1503</v>
      </c>
      <c r="BH247" s="1" t="s">
        <v>2034</v>
      </c>
      <c r="BI247" s="2" t="s">
        <v>7484</v>
      </c>
      <c r="BJ247" s="1" t="s">
        <v>2519</v>
      </c>
      <c r="BK247" s="1" t="s">
        <v>2744</v>
      </c>
      <c r="BL247" s="1" t="s">
        <v>1883</v>
      </c>
      <c r="BM247" s="2" t="s">
        <v>2745</v>
      </c>
    </row>
    <row r="248" spans="1:71" ht="126" x14ac:dyDescent="0.45">
      <c r="A248" s="5">
        <v>247</v>
      </c>
      <c r="B248" s="8" t="s">
        <v>178</v>
      </c>
      <c r="C248" s="6" t="s">
        <v>6851</v>
      </c>
      <c r="D248" s="7" t="s">
        <v>9794</v>
      </c>
      <c r="E248" s="6" t="s">
        <v>178</v>
      </c>
      <c r="F248" s="1"/>
      <c r="G248" s="1"/>
      <c r="J248" s="1" t="s">
        <v>9795</v>
      </c>
      <c r="K248" s="2"/>
      <c r="L248" s="9" t="s">
        <v>10704</v>
      </c>
      <c r="P248" s="7" t="s">
        <v>1241</v>
      </c>
      <c r="Q248" s="13" t="str">
        <f>INDEX($L:$L, MATCH("penalty", $B:$B, 0))</f>
        <v>&lt;span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v>
      </c>
      <c r="AV248" s="1" t="s">
        <v>1502</v>
      </c>
      <c r="BG248" s="7" t="s">
        <v>1503</v>
      </c>
      <c r="BH248" s="1" t="s">
        <v>2423</v>
      </c>
      <c r="BI248" s="1" t="s">
        <v>2746</v>
      </c>
      <c r="BJ248" s="1" t="s">
        <v>2034</v>
      </c>
      <c r="BK248" s="2" t="s">
        <v>2747</v>
      </c>
      <c r="BL248" s="1" t="s">
        <v>2324</v>
      </c>
      <c r="BM248" s="2" t="s">
        <v>2748</v>
      </c>
      <c r="BN248" s="1" t="s">
        <v>2031</v>
      </c>
      <c r="BO248" s="1" t="s">
        <v>2749</v>
      </c>
      <c r="BP248" s="1" t="s">
        <v>2044</v>
      </c>
      <c r="BQ248" s="2" t="s">
        <v>2750</v>
      </c>
      <c r="BR248" s="1" t="s">
        <v>1865</v>
      </c>
      <c r="BS248" s="2" t="s">
        <v>2751</v>
      </c>
    </row>
    <row r="249" spans="1:71" ht="108" x14ac:dyDescent="0.45">
      <c r="A249" s="5">
        <v>248</v>
      </c>
      <c r="B249" s="8" t="s">
        <v>179</v>
      </c>
      <c r="C249" s="6" t="s">
        <v>6851</v>
      </c>
      <c r="D249" s="7" t="s">
        <v>9794</v>
      </c>
      <c r="E249" s="6" t="s">
        <v>179</v>
      </c>
      <c r="F249" s="1"/>
      <c r="G249" s="1"/>
      <c r="J249" s="1" t="s">
        <v>9795</v>
      </c>
      <c r="K249" s="2" t="s">
        <v>7485</v>
      </c>
      <c r="L249" s="3" t="s">
        <v>8199</v>
      </c>
      <c r="P249" s="7" t="s">
        <v>1241</v>
      </c>
      <c r="AU249" s="15"/>
      <c r="AV249" s="1" t="s">
        <v>1502</v>
      </c>
      <c r="BG249" s="7" t="s">
        <v>1503</v>
      </c>
      <c r="BH249" s="1" t="s">
        <v>2034</v>
      </c>
      <c r="BI249" s="2" t="s">
        <v>2752</v>
      </c>
      <c r="BJ249" s="1" t="s">
        <v>1980</v>
      </c>
      <c r="BK249" s="2" t="s">
        <v>2753</v>
      </c>
      <c r="BL249" s="1" t="s">
        <v>2754</v>
      </c>
      <c r="BM249" s="1" t="s">
        <v>2755</v>
      </c>
      <c r="BN249" s="1" t="s">
        <v>2321</v>
      </c>
      <c r="BO249" s="1" t="s">
        <v>2756</v>
      </c>
      <c r="BP249" s="1" t="s">
        <v>2044</v>
      </c>
      <c r="BQ249" s="2" t="s">
        <v>2757</v>
      </c>
      <c r="BR249" s="1" t="s">
        <v>1865</v>
      </c>
      <c r="BS249" s="2" t="s">
        <v>2758</v>
      </c>
    </row>
    <row r="250" spans="1:71" ht="180" x14ac:dyDescent="0.45">
      <c r="A250" s="5">
        <v>249</v>
      </c>
      <c r="B250" s="8" t="s">
        <v>180</v>
      </c>
      <c r="C250" s="6" t="s">
        <v>6851</v>
      </c>
      <c r="D250" s="7" t="s">
        <v>9794</v>
      </c>
      <c r="E250" s="1" t="s">
        <v>46</v>
      </c>
      <c r="F250" s="1" t="s">
        <v>1429</v>
      </c>
      <c r="G250" s="1"/>
      <c r="J250" s="1" t="s">
        <v>9795</v>
      </c>
      <c r="K250" s="2" t="s">
        <v>7486</v>
      </c>
      <c r="L250" s="4" t="s">
        <v>8200</v>
      </c>
      <c r="M250" s="1" t="s">
        <v>12211</v>
      </c>
      <c r="P250" s="7" t="s">
        <v>1241</v>
      </c>
      <c r="Q250" s="14"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250" s="14"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S250" s="14"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T250" s="14"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U250" s="1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V250" s="13"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AU250" s="15"/>
      <c r="AV250" s="1" t="s">
        <v>1502</v>
      </c>
      <c r="BG250" s="7" t="s">
        <v>1503</v>
      </c>
      <c r="BH250" s="1" t="s">
        <v>2034</v>
      </c>
      <c r="BI250" s="2" t="s">
        <v>2759</v>
      </c>
      <c r="BJ250" s="1" t="s">
        <v>2044</v>
      </c>
      <c r="BK250" s="2" t="s">
        <v>2760</v>
      </c>
    </row>
    <row r="251" spans="1:71" ht="126" x14ac:dyDescent="0.45">
      <c r="A251" s="5">
        <v>250</v>
      </c>
      <c r="B251" s="8" t="s">
        <v>1579</v>
      </c>
      <c r="C251" s="6" t="s">
        <v>6851</v>
      </c>
      <c r="D251" s="7" t="s">
        <v>9794</v>
      </c>
      <c r="E251" s="6" t="s">
        <v>1857</v>
      </c>
      <c r="F251" s="1" t="s">
        <v>1584</v>
      </c>
      <c r="G251" s="1"/>
      <c r="J251" s="1" t="s">
        <v>9795</v>
      </c>
      <c r="K251" s="2" t="s">
        <v>7487</v>
      </c>
      <c r="L251" s="3" t="s">
        <v>8882</v>
      </c>
      <c r="P251" s="7" t="s">
        <v>1241</v>
      </c>
      <c r="Q251" s="13"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AU251" s="15"/>
      <c r="AV251" s="1" t="s">
        <v>1502</v>
      </c>
      <c r="BG251" s="7" t="s">
        <v>1503</v>
      </c>
      <c r="BH251" s="1" t="s">
        <v>2034</v>
      </c>
      <c r="BI251" s="2" t="s">
        <v>7488</v>
      </c>
      <c r="BJ251" s="1" t="s">
        <v>2031</v>
      </c>
      <c r="BK251" s="1" t="s">
        <v>2761</v>
      </c>
      <c r="BL251" s="1" t="s">
        <v>2044</v>
      </c>
      <c r="BM251" s="2" t="s">
        <v>2762</v>
      </c>
      <c r="BO251" s="2"/>
    </row>
    <row r="252" spans="1:71" ht="108" x14ac:dyDescent="0.45">
      <c r="A252" s="5">
        <v>251</v>
      </c>
      <c r="B252" s="8" t="s">
        <v>1581</v>
      </c>
      <c r="C252" s="6" t="s">
        <v>6851</v>
      </c>
      <c r="D252" s="7" t="s">
        <v>9794</v>
      </c>
      <c r="E252" s="6" t="s">
        <v>8957</v>
      </c>
      <c r="F252" s="1" t="s">
        <v>1895</v>
      </c>
      <c r="G252" s="1"/>
      <c r="J252" s="1" t="s">
        <v>9795</v>
      </c>
      <c r="K252" s="2" t="s">
        <v>7489</v>
      </c>
      <c r="L252" s="9" t="s">
        <v>8201</v>
      </c>
      <c r="P252" s="7" t="s">
        <v>1241</v>
      </c>
      <c r="Q252" s="13" t="str">
        <f>INDEX($L:$L, MATCH("obey", $B:$B, 0))</f>
        <v>&lt;span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v>
      </c>
      <c r="AU252" s="15"/>
      <c r="AV252" s="1" t="s">
        <v>1502</v>
      </c>
      <c r="BG252" s="7" t="s">
        <v>1503</v>
      </c>
      <c r="BH252" s="1" t="s">
        <v>2034</v>
      </c>
      <c r="BI252" s="2" t="s">
        <v>2763</v>
      </c>
      <c r="BJ252" s="1" t="s">
        <v>2031</v>
      </c>
      <c r="BK252" s="1" t="s">
        <v>2764</v>
      </c>
      <c r="BL252" s="1" t="s">
        <v>2044</v>
      </c>
      <c r="BM252" s="2" t="s">
        <v>2765</v>
      </c>
      <c r="BN252" s="1" t="s">
        <v>1865</v>
      </c>
      <c r="BO252" s="2" t="s">
        <v>2766</v>
      </c>
      <c r="BP252" s="1" t="s">
        <v>1860</v>
      </c>
      <c r="BQ252" s="2" t="s">
        <v>2767</v>
      </c>
    </row>
    <row r="253" spans="1:71" ht="108" x14ac:dyDescent="0.45">
      <c r="A253" s="5">
        <v>252</v>
      </c>
      <c r="B253" s="8" t="s">
        <v>181</v>
      </c>
      <c r="C253" s="6" t="s">
        <v>6851</v>
      </c>
      <c r="D253" s="7" t="s">
        <v>9794</v>
      </c>
      <c r="E253" s="6" t="s">
        <v>1341</v>
      </c>
      <c r="F253" s="6" t="s">
        <v>1430</v>
      </c>
      <c r="G253" s="1"/>
      <c r="J253" s="1" t="s">
        <v>9795</v>
      </c>
      <c r="K253" s="2" t="s">
        <v>7490</v>
      </c>
      <c r="L253" s="9" t="s">
        <v>8202</v>
      </c>
      <c r="P253" s="7" t="s">
        <v>1241</v>
      </c>
      <c r="AU253" s="15"/>
      <c r="AV253" s="1" t="s">
        <v>1502</v>
      </c>
      <c r="BG253" s="7" t="s">
        <v>1503</v>
      </c>
      <c r="BH253" s="1" t="s">
        <v>2034</v>
      </c>
      <c r="BI253" s="2" t="s">
        <v>2768</v>
      </c>
      <c r="BJ253" s="1" t="s">
        <v>2031</v>
      </c>
      <c r="BK253" s="2" t="s">
        <v>2769</v>
      </c>
      <c r="BL253" s="1" t="s">
        <v>2017</v>
      </c>
      <c r="BM253" s="1" t="s">
        <v>2770</v>
      </c>
      <c r="BN253" s="1" t="s">
        <v>1865</v>
      </c>
      <c r="BO253" s="2" t="s">
        <v>2771</v>
      </c>
    </row>
    <row r="254" spans="1:71" ht="90" x14ac:dyDescent="0.45">
      <c r="A254" s="5">
        <v>253</v>
      </c>
      <c r="B254" s="8" t="s">
        <v>182</v>
      </c>
      <c r="C254" s="6" t="s">
        <v>6851</v>
      </c>
      <c r="D254" s="7" t="s">
        <v>9794</v>
      </c>
      <c r="E254" s="6" t="s">
        <v>182</v>
      </c>
      <c r="F254" s="1"/>
      <c r="G254" s="1"/>
      <c r="J254" s="1" t="s">
        <v>9795</v>
      </c>
      <c r="K254" s="2"/>
      <c r="L254" s="9" t="s">
        <v>8203</v>
      </c>
      <c r="P254" s="7" t="s">
        <v>1241</v>
      </c>
      <c r="AU254" s="15"/>
      <c r="AV254" s="1" t="s">
        <v>1502</v>
      </c>
      <c r="BG254" s="7" t="s">
        <v>1503</v>
      </c>
      <c r="BH254" s="1" t="s">
        <v>2648</v>
      </c>
      <c r="BI254" s="2" t="s">
        <v>2772</v>
      </c>
      <c r="BJ254" s="1" t="s">
        <v>2044</v>
      </c>
      <c r="BK254" s="2" t="s">
        <v>2773</v>
      </c>
    </row>
    <row r="255" spans="1:71" ht="198" x14ac:dyDescent="0.45">
      <c r="A255" s="5">
        <v>254</v>
      </c>
      <c r="B255" s="8" t="s">
        <v>183</v>
      </c>
      <c r="C255" s="6" t="s">
        <v>6851</v>
      </c>
      <c r="D255" s="7" t="s">
        <v>9794</v>
      </c>
      <c r="E255" s="6" t="s">
        <v>183</v>
      </c>
      <c r="F255" s="1"/>
      <c r="G255" s="1"/>
      <c r="J255" s="1" t="s">
        <v>9795</v>
      </c>
      <c r="K255" s="2" t="s">
        <v>7491</v>
      </c>
      <c r="L255" s="9" t="s">
        <v>8204</v>
      </c>
      <c r="P255" s="7" t="s">
        <v>1241</v>
      </c>
      <c r="AU255" s="15"/>
      <c r="AV255" s="1" t="s">
        <v>1502</v>
      </c>
      <c r="BG255" s="7" t="s">
        <v>1503</v>
      </c>
      <c r="BH255" s="1" t="s">
        <v>2423</v>
      </c>
      <c r="BI255" s="2" t="s">
        <v>2774</v>
      </c>
      <c r="BJ255" s="1" t="s">
        <v>1237</v>
      </c>
      <c r="BK255" s="2" t="s">
        <v>2775</v>
      </c>
      <c r="BL255" s="1" t="s">
        <v>1883</v>
      </c>
      <c r="BM255" s="2" t="s">
        <v>4493</v>
      </c>
    </row>
    <row r="256" spans="1:71" ht="54" x14ac:dyDescent="0.45">
      <c r="A256" s="5">
        <v>255</v>
      </c>
      <c r="B256" s="8" t="s">
        <v>184</v>
      </c>
      <c r="C256" s="6" t="s">
        <v>6851</v>
      </c>
      <c r="D256" s="7" t="s">
        <v>9794</v>
      </c>
      <c r="E256" s="1" t="s">
        <v>8958</v>
      </c>
      <c r="F256" s="1" t="s">
        <v>2776</v>
      </c>
      <c r="G256" s="1"/>
      <c r="J256" s="1" t="s">
        <v>9795</v>
      </c>
      <c r="K256" s="2" t="s">
        <v>7492</v>
      </c>
      <c r="L256" s="4" t="s">
        <v>8205</v>
      </c>
      <c r="P256" s="7" t="s">
        <v>1241</v>
      </c>
      <c r="Q256" s="16" t="str">
        <f>INDEX($L:$L, MATCH("technology", $B:$B, 0))</f>
        <v>&lt;span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v>
      </c>
      <c r="AU256" s="15"/>
      <c r="AV256" s="1" t="s">
        <v>1502</v>
      </c>
      <c r="BG256" s="7" t="s">
        <v>1503</v>
      </c>
      <c r="BH256" s="1" t="s">
        <v>2423</v>
      </c>
      <c r="BI256" s="2" t="s">
        <v>2777</v>
      </c>
      <c r="BJ256" s="1" t="s">
        <v>2519</v>
      </c>
      <c r="BK256" s="1" t="s">
        <v>2778</v>
      </c>
      <c r="BL256" s="1" t="s">
        <v>1883</v>
      </c>
      <c r="BM256" s="2" t="s">
        <v>2779</v>
      </c>
    </row>
    <row r="257" spans="1:69" ht="234" x14ac:dyDescent="0.45">
      <c r="A257" s="5">
        <v>256</v>
      </c>
      <c r="B257" s="8" t="s">
        <v>1431</v>
      </c>
      <c r="C257" s="6" t="s">
        <v>6851</v>
      </c>
      <c r="D257" s="7" t="s">
        <v>9794</v>
      </c>
      <c r="E257" s="1" t="s">
        <v>185</v>
      </c>
      <c r="F257" s="1"/>
      <c r="G257" s="1"/>
      <c r="J257" s="1" t="s">
        <v>9795</v>
      </c>
      <c r="K257" s="2" t="s">
        <v>7493</v>
      </c>
      <c r="L257" s="4" t="s">
        <v>8206</v>
      </c>
      <c r="P257" s="7" t="s">
        <v>1241</v>
      </c>
      <c r="Q257" s="1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257" s="1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S257" s="14"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257" s="14"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U257" s="1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257" s="1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257" s="1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257" s="14"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257"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257"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257"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257"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257"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257"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257"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257" s="15"/>
      <c r="AV257" s="1" t="s">
        <v>1502</v>
      </c>
      <c r="BG257" s="7" t="s">
        <v>1503</v>
      </c>
      <c r="BH257" s="1" t="s">
        <v>2780</v>
      </c>
      <c r="BI257" s="2" t="s">
        <v>7494</v>
      </c>
      <c r="BJ257" s="1" t="s">
        <v>1865</v>
      </c>
      <c r="BK257" s="2" t="s">
        <v>2781</v>
      </c>
    </row>
    <row r="258" spans="1:69" ht="108" x14ac:dyDescent="0.45">
      <c r="A258" s="5">
        <v>257</v>
      </c>
      <c r="B258" s="8" t="s">
        <v>1583</v>
      </c>
      <c r="C258" s="6" t="s">
        <v>6851</v>
      </c>
      <c r="D258" s="7" t="s">
        <v>9794</v>
      </c>
      <c r="E258" s="1" t="s">
        <v>1460</v>
      </c>
      <c r="F258" s="1" t="s">
        <v>1584</v>
      </c>
      <c r="G258" s="1"/>
      <c r="J258" s="1" t="s">
        <v>9795</v>
      </c>
      <c r="K258" s="2" t="s">
        <v>7495</v>
      </c>
      <c r="L258" s="4" t="s">
        <v>8207</v>
      </c>
      <c r="P258" s="7" t="s">
        <v>1241</v>
      </c>
      <c r="Q258" s="13" t="str">
        <f>INDEX($L:$L, MATCH("adopt", $B:$B, 0))</f>
        <v>&lt;span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v>
      </c>
      <c r="AU258" s="15"/>
      <c r="AV258" s="1" t="s">
        <v>1502</v>
      </c>
      <c r="BG258" s="7" t="s">
        <v>1503</v>
      </c>
      <c r="BH258" s="1" t="s">
        <v>2780</v>
      </c>
      <c r="BI258" s="2" t="s">
        <v>7496</v>
      </c>
      <c r="BJ258" s="1" t="s">
        <v>2031</v>
      </c>
      <c r="BK258" s="1" t="s">
        <v>2782</v>
      </c>
      <c r="BL258" s="1" t="s">
        <v>2017</v>
      </c>
      <c r="BM258" s="1" t="s">
        <v>1583</v>
      </c>
      <c r="BN258" s="1" t="s">
        <v>1865</v>
      </c>
      <c r="BO258" s="2" t="s">
        <v>2783</v>
      </c>
    </row>
    <row r="259" spans="1:69" ht="234" x14ac:dyDescent="0.45">
      <c r="A259" s="5">
        <v>258</v>
      </c>
      <c r="B259" s="8" t="s">
        <v>1432</v>
      </c>
      <c r="C259" s="6" t="s">
        <v>6851</v>
      </c>
      <c r="D259" s="7" t="s">
        <v>9794</v>
      </c>
      <c r="E259" s="1" t="s">
        <v>1251</v>
      </c>
      <c r="F259" s="1" t="s">
        <v>1808</v>
      </c>
      <c r="G259" s="1"/>
      <c r="J259" s="1" t="s">
        <v>9795</v>
      </c>
      <c r="K259" s="2" t="s">
        <v>7497</v>
      </c>
      <c r="L259" s="3" t="s">
        <v>12150</v>
      </c>
      <c r="P259" s="7" t="s">
        <v>1241</v>
      </c>
      <c r="Q259" s="14"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259" s="14"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S259" s="13"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T259" s="13"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U259"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259"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W259" s="13"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AT259" s="15"/>
      <c r="AU259" s="15"/>
      <c r="AV259" s="1" t="s">
        <v>1502</v>
      </c>
      <c r="BG259" s="7" t="s">
        <v>1503</v>
      </c>
      <c r="BH259" s="2" t="s">
        <v>2784</v>
      </c>
      <c r="BI259" s="2" t="s">
        <v>2785</v>
      </c>
      <c r="BJ259" s="1" t="s">
        <v>2044</v>
      </c>
      <c r="BK259" s="2" t="s">
        <v>2786</v>
      </c>
    </row>
    <row r="260" spans="1:69" ht="126" x14ac:dyDescent="0.45">
      <c r="A260" s="5">
        <v>259</v>
      </c>
      <c r="B260" s="8" t="s">
        <v>186</v>
      </c>
      <c r="C260" s="6" t="s">
        <v>6851</v>
      </c>
      <c r="D260" s="7" t="s">
        <v>9794</v>
      </c>
      <c r="E260" s="6" t="s">
        <v>186</v>
      </c>
      <c r="F260" s="1"/>
      <c r="G260" s="1"/>
      <c r="J260" s="1" t="s">
        <v>9795</v>
      </c>
      <c r="K260" s="2"/>
      <c r="L260" s="9" t="s">
        <v>9243</v>
      </c>
      <c r="P260" s="7" t="s">
        <v>1241</v>
      </c>
      <c r="AT260" s="15"/>
      <c r="AU260" s="15"/>
      <c r="AV260" s="1" t="s">
        <v>1502</v>
      </c>
      <c r="BG260" s="7" t="s">
        <v>1503</v>
      </c>
      <c r="BH260" s="2" t="s">
        <v>2519</v>
      </c>
      <c r="BI260" s="2" t="s">
        <v>2787</v>
      </c>
      <c r="BJ260" s="1" t="s">
        <v>1865</v>
      </c>
      <c r="BK260" s="2" t="s">
        <v>2788</v>
      </c>
    </row>
    <row r="261" spans="1:69" ht="144" x14ac:dyDescent="0.45">
      <c r="A261" s="5">
        <v>260</v>
      </c>
      <c r="B261" s="8" t="s">
        <v>187</v>
      </c>
      <c r="C261" s="6" t="s">
        <v>6851</v>
      </c>
      <c r="D261" s="7" t="s">
        <v>9794</v>
      </c>
      <c r="E261" s="1" t="s">
        <v>187</v>
      </c>
      <c r="F261" s="1"/>
      <c r="G261" s="1"/>
      <c r="J261" s="1" t="s">
        <v>9795</v>
      </c>
      <c r="K261" s="2" t="s">
        <v>7498</v>
      </c>
      <c r="L261" s="9" t="s">
        <v>8208</v>
      </c>
      <c r="P261" s="7" t="s">
        <v>1241</v>
      </c>
      <c r="AU261" s="15"/>
      <c r="AV261" s="1" t="s">
        <v>1502</v>
      </c>
      <c r="BG261" s="7" t="s">
        <v>1503</v>
      </c>
      <c r="BH261" s="1" t="s">
        <v>2780</v>
      </c>
      <c r="BI261" s="2" t="s">
        <v>2789</v>
      </c>
      <c r="BJ261" s="1" t="s">
        <v>2031</v>
      </c>
      <c r="BK261" s="2" t="s">
        <v>2790</v>
      </c>
      <c r="BL261" s="1" t="s">
        <v>2044</v>
      </c>
      <c r="BM261" s="2" t="s">
        <v>2791</v>
      </c>
    </row>
    <row r="262" spans="1:69" ht="144" x14ac:dyDescent="0.45">
      <c r="A262" s="5">
        <v>261</v>
      </c>
      <c r="B262" s="8" t="s">
        <v>188</v>
      </c>
      <c r="C262" s="6" t="s">
        <v>6851</v>
      </c>
      <c r="D262" s="7" t="s">
        <v>9794</v>
      </c>
      <c r="E262" s="6" t="s">
        <v>46</v>
      </c>
      <c r="F262" s="1" t="s">
        <v>1433</v>
      </c>
      <c r="G262" s="1"/>
      <c r="J262" s="1" t="s">
        <v>9795</v>
      </c>
      <c r="K262" s="2" t="s">
        <v>7499</v>
      </c>
      <c r="L262" s="3" t="s">
        <v>8209</v>
      </c>
      <c r="P262" s="7" t="s">
        <v>1241</v>
      </c>
      <c r="AU262" s="15"/>
      <c r="AV262" s="1" t="s">
        <v>1502</v>
      </c>
      <c r="BG262" s="7" t="s">
        <v>1503</v>
      </c>
      <c r="BH262" s="1" t="s">
        <v>2780</v>
      </c>
      <c r="BI262" s="2" t="s">
        <v>2792</v>
      </c>
      <c r="BJ262" s="1" t="s">
        <v>2147</v>
      </c>
      <c r="BK262" s="1" t="s">
        <v>2793</v>
      </c>
      <c r="BL262" s="1" t="s">
        <v>1504</v>
      </c>
      <c r="BM262" s="1" t="s">
        <v>2794</v>
      </c>
      <c r="BN262" s="1" t="s">
        <v>2044</v>
      </c>
      <c r="BO262" s="2" t="s">
        <v>2795</v>
      </c>
    </row>
    <row r="263" spans="1:69" ht="72" x14ac:dyDescent="0.45">
      <c r="A263" s="5">
        <v>262</v>
      </c>
      <c r="B263" s="8" t="s">
        <v>189</v>
      </c>
      <c r="C263" s="6" t="s">
        <v>6851</v>
      </c>
      <c r="D263" s="7" t="s">
        <v>9794</v>
      </c>
      <c r="E263" s="6" t="s">
        <v>189</v>
      </c>
      <c r="F263" s="1"/>
      <c r="G263" s="1"/>
      <c r="J263" s="1" t="s">
        <v>9795</v>
      </c>
      <c r="K263" s="2" t="s">
        <v>2796</v>
      </c>
      <c r="L263" s="9" t="s">
        <v>8210</v>
      </c>
      <c r="P263" s="7" t="s">
        <v>1241</v>
      </c>
      <c r="AU263" s="15"/>
      <c r="AV263" s="1" t="s">
        <v>1502</v>
      </c>
      <c r="BG263" s="7" t="s">
        <v>1503</v>
      </c>
      <c r="BH263" s="1" t="s">
        <v>1863</v>
      </c>
      <c r="BI263" s="2" t="s">
        <v>2797</v>
      </c>
      <c r="BJ263" s="1" t="s">
        <v>1865</v>
      </c>
      <c r="BK263" s="2" t="s">
        <v>2798</v>
      </c>
    </row>
    <row r="264" spans="1:69" ht="198" x14ac:dyDescent="0.45">
      <c r="A264" s="5">
        <v>263</v>
      </c>
      <c r="B264" s="8" t="s">
        <v>190</v>
      </c>
      <c r="C264" s="6" t="s">
        <v>6851</v>
      </c>
      <c r="D264" s="7" t="s">
        <v>9794</v>
      </c>
      <c r="E264" s="6" t="s">
        <v>46</v>
      </c>
      <c r="F264" s="6" t="s">
        <v>1434</v>
      </c>
      <c r="G264" s="1"/>
      <c r="J264" s="1" t="s">
        <v>9795</v>
      </c>
      <c r="K264" s="2" t="s">
        <v>7500</v>
      </c>
      <c r="L264" s="3" t="s">
        <v>8211</v>
      </c>
      <c r="P264" s="7" t="s">
        <v>1241</v>
      </c>
      <c r="Q264" s="13"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R264" s="13"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AU264" s="15"/>
      <c r="AV264" s="1" t="s">
        <v>1502</v>
      </c>
      <c r="BG264" s="7" t="s">
        <v>1503</v>
      </c>
      <c r="BH264" s="1" t="s">
        <v>2780</v>
      </c>
      <c r="BI264" s="2" t="s">
        <v>2799</v>
      </c>
      <c r="BJ264" s="1" t="s">
        <v>2044</v>
      </c>
      <c r="BK264" s="2" t="s">
        <v>2800</v>
      </c>
      <c r="BL264" s="1" t="s">
        <v>1865</v>
      </c>
      <c r="BM264" s="2" t="s">
        <v>2801</v>
      </c>
    </row>
    <row r="265" spans="1:69" ht="126" x14ac:dyDescent="0.45">
      <c r="A265" s="5">
        <v>264</v>
      </c>
      <c r="B265" s="8" t="s">
        <v>191</v>
      </c>
      <c r="C265" s="6" t="s">
        <v>6851</v>
      </c>
      <c r="D265" s="7" t="s">
        <v>9794</v>
      </c>
      <c r="E265" s="6" t="s">
        <v>1327</v>
      </c>
      <c r="F265" s="1" t="s">
        <v>1435</v>
      </c>
      <c r="G265" s="1"/>
      <c r="J265" s="1" t="s">
        <v>9795</v>
      </c>
      <c r="K265" s="2" t="s">
        <v>7501</v>
      </c>
      <c r="L265" s="9" t="s">
        <v>8212</v>
      </c>
      <c r="P265" s="7" t="s">
        <v>1241</v>
      </c>
      <c r="Q265" s="13" t="str">
        <f>INDEX($L:$L, MATCH("combat", $B:$B, 0))</f>
        <v>&lt;span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v>
      </c>
      <c r="AU265" s="15"/>
      <c r="AV265" s="1" t="s">
        <v>1502</v>
      </c>
      <c r="BG265" s="7" t="s">
        <v>1503</v>
      </c>
      <c r="BH265" s="1" t="s">
        <v>2780</v>
      </c>
      <c r="BI265" s="2" t="s">
        <v>2802</v>
      </c>
      <c r="BJ265" s="1" t="s">
        <v>2031</v>
      </c>
      <c r="BK265" s="2" t="s">
        <v>2803</v>
      </c>
      <c r="BL265" s="1" t="s">
        <v>2044</v>
      </c>
      <c r="BM265" s="2" t="s">
        <v>2804</v>
      </c>
    </row>
    <row r="266" spans="1:69" ht="144" x14ac:dyDescent="0.45">
      <c r="A266" s="5">
        <v>265</v>
      </c>
      <c r="B266" s="8" t="s">
        <v>192</v>
      </c>
      <c r="C266" s="6" t="s">
        <v>6851</v>
      </c>
      <c r="D266" s="7" t="s">
        <v>9794</v>
      </c>
      <c r="E266" s="6" t="s">
        <v>192</v>
      </c>
      <c r="F266" s="1"/>
      <c r="G266" s="1"/>
      <c r="J266" s="1" t="s">
        <v>9795</v>
      </c>
      <c r="K266" s="2" t="s">
        <v>7502</v>
      </c>
      <c r="L266" s="4" t="s">
        <v>8213</v>
      </c>
      <c r="P266" s="7" t="s">
        <v>1241</v>
      </c>
      <c r="Q266" s="18" t="str">
        <f>INDEX($L:$L, MATCH("focus", $B:$B, 0))</f>
        <v>&lt;span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v>
      </c>
      <c r="AU266" s="15"/>
      <c r="AV266" s="1" t="s">
        <v>1502</v>
      </c>
      <c r="BG266" s="7" t="s">
        <v>1503</v>
      </c>
      <c r="BH266" s="1" t="s">
        <v>2780</v>
      </c>
      <c r="BI266" s="2" t="s">
        <v>7503</v>
      </c>
      <c r="BJ266" s="1" t="s">
        <v>1980</v>
      </c>
      <c r="BK266" s="1" t="s">
        <v>2805</v>
      </c>
      <c r="BL266" s="1" t="s">
        <v>2031</v>
      </c>
      <c r="BM266" s="2" t="s">
        <v>2806</v>
      </c>
      <c r="BN266" s="1" t="s">
        <v>2044</v>
      </c>
      <c r="BO266" s="2" t="s">
        <v>7504</v>
      </c>
    </row>
    <row r="267" spans="1:69" ht="126" x14ac:dyDescent="0.45">
      <c r="A267" s="5">
        <v>266</v>
      </c>
      <c r="B267" s="8" t="s">
        <v>1585</v>
      </c>
      <c r="C267" s="6" t="s">
        <v>6851</v>
      </c>
      <c r="D267" s="7" t="s">
        <v>9794</v>
      </c>
      <c r="E267" s="6" t="s">
        <v>7505</v>
      </c>
      <c r="F267" s="1" t="s">
        <v>1584</v>
      </c>
      <c r="G267" s="1"/>
      <c r="J267" s="1" t="s">
        <v>9795</v>
      </c>
      <c r="K267" s="2" t="s">
        <v>7506</v>
      </c>
      <c r="L267" s="9" t="s">
        <v>8214</v>
      </c>
      <c r="P267" s="7" t="s">
        <v>1241</v>
      </c>
      <c r="AU267" s="15"/>
      <c r="AV267" s="1" t="s">
        <v>1502</v>
      </c>
      <c r="BG267" s="7" t="s">
        <v>1503</v>
      </c>
      <c r="BH267" s="1" t="s">
        <v>2780</v>
      </c>
      <c r="BI267" s="2" t="s">
        <v>2807</v>
      </c>
      <c r="BJ267" s="1" t="s">
        <v>2147</v>
      </c>
      <c r="BK267" s="2" t="s">
        <v>2808</v>
      </c>
      <c r="BL267" s="1" t="s">
        <v>2044</v>
      </c>
      <c r="BM267" s="2" t="s">
        <v>7507</v>
      </c>
      <c r="BN267" s="1" t="s">
        <v>1865</v>
      </c>
      <c r="BO267" s="2" t="s">
        <v>2809</v>
      </c>
    </row>
    <row r="268" spans="1:69" ht="162" x14ac:dyDescent="0.45">
      <c r="A268" s="5">
        <v>267</v>
      </c>
      <c r="B268" s="8" t="s">
        <v>193</v>
      </c>
      <c r="C268" s="6" t="s">
        <v>6851</v>
      </c>
      <c r="D268" s="7" t="s">
        <v>9794</v>
      </c>
      <c r="E268" s="6" t="s">
        <v>193</v>
      </c>
      <c r="F268" s="1"/>
      <c r="G268" s="1"/>
      <c r="J268" s="1" t="s">
        <v>9795</v>
      </c>
      <c r="K268" s="2" t="s">
        <v>7508</v>
      </c>
      <c r="L268" s="9" t="s">
        <v>8215</v>
      </c>
      <c r="P268" s="7" t="s">
        <v>1241</v>
      </c>
      <c r="AV268" s="1" t="s">
        <v>1502</v>
      </c>
      <c r="BG268" s="7" t="s">
        <v>1503</v>
      </c>
      <c r="BH268" s="1" t="s">
        <v>2648</v>
      </c>
      <c r="BI268" s="1" t="s">
        <v>2810</v>
      </c>
      <c r="BJ268" s="1" t="s">
        <v>2044</v>
      </c>
      <c r="BK268" s="1" t="s">
        <v>2811</v>
      </c>
      <c r="BL268" s="1" t="s">
        <v>1883</v>
      </c>
      <c r="BM268" s="2" t="s">
        <v>2812</v>
      </c>
      <c r="BN268" s="1" t="s">
        <v>1860</v>
      </c>
      <c r="BO268" s="2" t="s">
        <v>2813</v>
      </c>
    </row>
    <row r="269" spans="1:69" ht="144" x14ac:dyDescent="0.45">
      <c r="A269" s="5">
        <v>268</v>
      </c>
      <c r="B269" s="8" t="s">
        <v>194</v>
      </c>
      <c r="C269" s="6" t="s">
        <v>6851</v>
      </c>
      <c r="D269" s="7" t="s">
        <v>9794</v>
      </c>
      <c r="E269" s="6" t="s">
        <v>1436</v>
      </c>
      <c r="F269" s="1" t="s">
        <v>1437</v>
      </c>
      <c r="G269" s="1"/>
      <c r="J269" s="1" t="s">
        <v>9795</v>
      </c>
      <c r="K269" s="2" t="s">
        <v>7509</v>
      </c>
      <c r="L269" s="9" t="s">
        <v>8216</v>
      </c>
      <c r="P269" s="7" t="s">
        <v>1241</v>
      </c>
      <c r="AU269" s="15"/>
      <c r="AV269" s="1" t="s">
        <v>1502</v>
      </c>
      <c r="BG269" s="7" t="s">
        <v>1503</v>
      </c>
      <c r="BH269" s="1" t="s">
        <v>2780</v>
      </c>
      <c r="BI269" s="2" t="s">
        <v>2814</v>
      </c>
      <c r="BJ269" s="1" t="s">
        <v>2147</v>
      </c>
      <c r="BK269" s="1" t="s">
        <v>2815</v>
      </c>
      <c r="BL269" s="1" t="s">
        <v>1980</v>
      </c>
      <c r="BM269" s="1" t="s">
        <v>2816</v>
      </c>
      <c r="BN269" s="1" t="s">
        <v>2031</v>
      </c>
      <c r="BO269" s="2" t="s">
        <v>2817</v>
      </c>
      <c r="BP269" s="1" t="s">
        <v>1865</v>
      </c>
      <c r="BQ269" s="2" t="s">
        <v>2818</v>
      </c>
    </row>
    <row r="270" spans="1:69" ht="216" x14ac:dyDescent="0.45">
      <c r="A270" s="5">
        <v>269</v>
      </c>
      <c r="B270" s="8" t="s">
        <v>1586</v>
      </c>
      <c r="C270" s="6" t="s">
        <v>6851</v>
      </c>
      <c r="D270" s="7" t="s">
        <v>9794</v>
      </c>
      <c r="E270" s="6" t="s">
        <v>195</v>
      </c>
      <c r="F270" s="1"/>
      <c r="G270" s="1"/>
      <c r="J270" s="1" t="s">
        <v>9795</v>
      </c>
      <c r="K270" s="2" t="s">
        <v>7510</v>
      </c>
      <c r="L270" s="9" t="s">
        <v>8217</v>
      </c>
      <c r="P270" s="7" t="s">
        <v>1241</v>
      </c>
      <c r="AU270" s="15"/>
      <c r="AV270" s="1" t="s">
        <v>1502</v>
      </c>
      <c r="BG270" s="7" t="s">
        <v>1503</v>
      </c>
      <c r="BH270" s="1" t="s">
        <v>2819</v>
      </c>
      <c r="BI270" s="2" t="s">
        <v>2820</v>
      </c>
      <c r="BJ270" s="1" t="s">
        <v>2519</v>
      </c>
      <c r="BK270" s="2" t="s">
        <v>2821</v>
      </c>
      <c r="BL270" s="1" t="s">
        <v>1883</v>
      </c>
      <c r="BM270" s="2" t="s">
        <v>2822</v>
      </c>
    </row>
    <row r="271" spans="1:69" ht="144" x14ac:dyDescent="0.45">
      <c r="A271" s="5">
        <v>270</v>
      </c>
      <c r="B271" s="8" t="s">
        <v>196</v>
      </c>
      <c r="C271" s="6" t="s">
        <v>6851</v>
      </c>
      <c r="D271" s="7" t="s">
        <v>9794</v>
      </c>
      <c r="E271" s="6" t="s">
        <v>7512</v>
      </c>
      <c r="F271" s="1" t="s">
        <v>7513</v>
      </c>
      <c r="G271" s="1"/>
      <c r="J271" s="1" t="s">
        <v>9795</v>
      </c>
      <c r="K271" s="2" t="s">
        <v>7511</v>
      </c>
      <c r="L271" s="3" t="s">
        <v>8218</v>
      </c>
      <c r="P271" s="7" t="s">
        <v>1241</v>
      </c>
      <c r="AU271" s="15"/>
      <c r="AV271" s="1" t="s">
        <v>1502</v>
      </c>
      <c r="BG271" s="7" t="s">
        <v>1503</v>
      </c>
      <c r="BH271" s="1" t="s">
        <v>2423</v>
      </c>
      <c r="BI271" s="2" t="s">
        <v>2823</v>
      </c>
      <c r="BJ271" s="1" t="s">
        <v>2519</v>
      </c>
      <c r="BK271" s="2" t="s">
        <v>2824</v>
      </c>
      <c r="BL271" s="1" t="s">
        <v>1883</v>
      </c>
      <c r="BM271" s="2" t="s">
        <v>2825</v>
      </c>
    </row>
    <row r="272" spans="1:69" ht="162" x14ac:dyDescent="0.45">
      <c r="A272" s="5">
        <v>271</v>
      </c>
      <c r="B272" s="8" t="s">
        <v>197</v>
      </c>
      <c r="C272" s="6" t="s">
        <v>6851</v>
      </c>
      <c r="D272" s="7" t="s">
        <v>9794</v>
      </c>
      <c r="E272" s="6" t="s">
        <v>197</v>
      </c>
      <c r="F272" s="1"/>
      <c r="G272" s="1"/>
      <c r="J272" s="1" t="s">
        <v>9795</v>
      </c>
      <c r="K272" s="2" t="s">
        <v>7514</v>
      </c>
      <c r="L272" s="9" t="s">
        <v>8219</v>
      </c>
      <c r="P272" s="7"/>
      <c r="Q272" s="13" t="str">
        <f>INDEX($L:$L, MATCH("diabetes", $B:$B, 0))</f>
        <v>&lt;span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v>
      </c>
      <c r="AU272" s="15"/>
      <c r="AV272" s="1" t="s">
        <v>1502</v>
      </c>
      <c r="BG272" s="7" t="s">
        <v>1503</v>
      </c>
      <c r="BH272" s="1" t="s">
        <v>2423</v>
      </c>
      <c r="BI272" s="2" t="s">
        <v>2826</v>
      </c>
      <c r="BJ272" s="1" t="s">
        <v>2780</v>
      </c>
      <c r="BK272" s="2" t="s">
        <v>2827</v>
      </c>
      <c r="BL272" s="1" t="s">
        <v>1883</v>
      </c>
      <c r="BM272" s="2" t="s">
        <v>2828</v>
      </c>
    </row>
    <row r="273" spans="1:69" ht="198" x14ac:dyDescent="0.45">
      <c r="A273" s="5">
        <v>272</v>
      </c>
      <c r="B273" s="8" t="s">
        <v>198</v>
      </c>
      <c r="C273" s="6" t="s">
        <v>6851</v>
      </c>
      <c r="D273" s="7" t="s">
        <v>9794</v>
      </c>
      <c r="E273" s="6" t="s">
        <v>46</v>
      </c>
      <c r="F273" s="6" t="s">
        <v>5658</v>
      </c>
      <c r="G273" s="1" t="s">
        <v>1895</v>
      </c>
      <c r="J273" s="1" t="s">
        <v>9795</v>
      </c>
      <c r="K273" s="2" t="s">
        <v>7515</v>
      </c>
      <c r="L273" s="3" t="s">
        <v>8220</v>
      </c>
      <c r="M273" s="1" t="s">
        <v>12237</v>
      </c>
      <c r="P273" s="7" t="s">
        <v>1241</v>
      </c>
      <c r="Q273" s="14"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R273" s="14"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S273" s="14"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T273" s="14"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U273" s="15"/>
      <c r="V273" s="15"/>
      <c r="AU273" s="15"/>
      <c r="AV273" s="1" t="s">
        <v>1502</v>
      </c>
      <c r="BG273" s="7" t="s">
        <v>1503</v>
      </c>
      <c r="BH273" s="1" t="s">
        <v>2780</v>
      </c>
      <c r="BI273" s="2" t="s">
        <v>2829</v>
      </c>
      <c r="BJ273" s="1" t="s">
        <v>2147</v>
      </c>
      <c r="BK273" s="2" t="s">
        <v>7516</v>
      </c>
      <c r="BL273" s="1" t="s">
        <v>2780</v>
      </c>
      <c r="BM273" s="2" t="s">
        <v>2830</v>
      </c>
      <c r="BN273" s="1" t="s">
        <v>2044</v>
      </c>
      <c r="BO273" s="2" t="s">
        <v>2831</v>
      </c>
    </row>
    <row r="274" spans="1:69" ht="180" x14ac:dyDescent="0.45">
      <c r="A274" s="5">
        <v>273</v>
      </c>
      <c r="B274" s="8" t="s">
        <v>199</v>
      </c>
      <c r="C274" s="6" t="s">
        <v>6851</v>
      </c>
      <c r="D274" s="7" t="s">
        <v>9794</v>
      </c>
      <c r="E274" s="6" t="s">
        <v>199</v>
      </c>
      <c r="F274" s="1"/>
      <c r="G274" s="1"/>
      <c r="J274" s="1" t="s">
        <v>9795</v>
      </c>
      <c r="K274" s="2" t="s">
        <v>7517</v>
      </c>
      <c r="L274" s="3" t="s">
        <v>10383</v>
      </c>
      <c r="M274" s="1" t="s">
        <v>12231</v>
      </c>
      <c r="P274" s="7" t="s">
        <v>1241</v>
      </c>
      <c r="Q274" s="14" t="str">
        <f>INDEX($L:$L, MATCH("esteem", $B:$B, 0))</f>
        <v>&lt;span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v>
      </c>
      <c r="R274" s="13" t="str">
        <f>INDEX($L:$L, MATCH("estimate", $B:$B, 0))</f>
        <v>&lt;span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v>
      </c>
      <c r="S274" s="13" t="str">
        <f>INDEX($L:$L, MATCH("underestimate", $B:$B, 0))</f>
        <v>&lt;span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v>
      </c>
      <c r="AU274" s="15"/>
      <c r="AV274" s="1" t="s">
        <v>1502</v>
      </c>
      <c r="BG274" s="7" t="s">
        <v>1503</v>
      </c>
      <c r="BH274" s="1" t="s">
        <v>2780</v>
      </c>
      <c r="BI274" s="2" t="s">
        <v>2832</v>
      </c>
      <c r="BJ274" s="1" t="s">
        <v>2031</v>
      </c>
      <c r="BK274" s="2" t="s">
        <v>2833</v>
      </c>
      <c r="BL274" s="1" t="s">
        <v>2044</v>
      </c>
      <c r="BM274" s="2" t="s">
        <v>7518</v>
      </c>
    </row>
    <row r="275" spans="1:69" ht="409.6" x14ac:dyDescent="0.45">
      <c r="A275" s="5">
        <v>274</v>
      </c>
      <c r="B275" s="8" t="s">
        <v>1438</v>
      </c>
      <c r="C275" s="6" t="s">
        <v>6851</v>
      </c>
      <c r="D275" s="7" t="s">
        <v>9794</v>
      </c>
      <c r="E275" s="1" t="s">
        <v>1595</v>
      </c>
      <c r="F275" s="1" t="s">
        <v>8959</v>
      </c>
      <c r="G275" s="1" t="s">
        <v>1695</v>
      </c>
      <c r="J275" s="1" t="s">
        <v>9795</v>
      </c>
      <c r="K275" s="2" t="s">
        <v>7261</v>
      </c>
      <c r="L275" s="3" t="s">
        <v>8221</v>
      </c>
      <c r="M275" s="1" t="s">
        <v>12238</v>
      </c>
      <c r="P275" s="7" t="s">
        <v>1241</v>
      </c>
      <c r="Q275" s="14"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275" s="14"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S275" s="14"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T275" s="14"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U275" s="14"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V275" s="1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W275" s="1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X275" s="1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Y275" s="1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Z275" s="1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AA275" s="1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AB275" s="1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AC275"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AD275"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U275" s="15"/>
      <c r="AV275" s="1" t="s">
        <v>1502</v>
      </c>
      <c r="BG275" s="7" t="s">
        <v>1503</v>
      </c>
      <c r="BH275" s="1" t="s">
        <v>2780</v>
      </c>
      <c r="BI275" s="2" t="s">
        <v>2834</v>
      </c>
      <c r="BJ275" s="1" t="s">
        <v>2147</v>
      </c>
      <c r="BK275" s="2" t="s">
        <v>2835</v>
      </c>
      <c r="BL275" s="1" t="s">
        <v>2031</v>
      </c>
      <c r="BM275" s="2" t="s">
        <v>2836</v>
      </c>
      <c r="BN275" s="1" t="s">
        <v>2044</v>
      </c>
      <c r="BO275" s="2" t="s">
        <v>2837</v>
      </c>
    </row>
    <row r="276" spans="1:69" ht="396" x14ac:dyDescent="0.45">
      <c r="A276" s="5">
        <v>275</v>
      </c>
      <c r="B276" s="8" t="s">
        <v>1439</v>
      </c>
      <c r="C276" s="6" t="s">
        <v>6851</v>
      </c>
      <c r="D276" s="7" t="s">
        <v>9794</v>
      </c>
      <c r="E276" s="1" t="s">
        <v>200</v>
      </c>
      <c r="F276" s="1"/>
      <c r="G276" s="1"/>
      <c r="J276" s="1" t="s">
        <v>9795</v>
      </c>
      <c r="K276" s="2" t="s">
        <v>7519</v>
      </c>
      <c r="L276" s="4" t="s">
        <v>8222</v>
      </c>
      <c r="M276" s="1" t="s">
        <v>12200</v>
      </c>
      <c r="P276" s="7" t="s">
        <v>1241</v>
      </c>
      <c r="Q276" s="14"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276" s="14"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276" s="14"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276" s="14"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U276" s="14"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V276" s="14"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276" s="14"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276" s="14"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276" s="1" t="s">
        <v>1502</v>
      </c>
      <c r="BG276" s="7" t="s">
        <v>1503</v>
      </c>
      <c r="BH276" s="1" t="s">
        <v>1976</v>
      </c>
      <c r="BI276" s="1" t="s">
        <v>2838</v>
      </c>
      <c r="BJ276" s="1" t="s">
        <v>2423</v>
      </c>
      <c r="BK276" s="2" t="s">
        <v>7520</v>
      </c>
      <c r="BL276" s="1" t="s">
        <v>2839</v>
      </c>
      <c r="BM276" s="2" t="s">
        <v>2840</v>
      </c>
      <c r="BN276" s="1" t="s">
        <v>1860</v>
      </c>
      <c r="BO276" s="2" t="s">
        <v>2841</v>
      </c>
    </row>
    <row r="277" spans="1:69" ht="108" x14ac:dyDescent="0.45">
      <c r="A277" s="5">
        <v>276</v>
      </c>
      <c r="B277" s="8" t="s">
        <v>201</v>
      </c>
      <c r="C277" s="6" t="s">
        <v>6851</v>
      </c>
      <c r="D277" s="7" t="s">
        <v>9794</v>
      </c>
      <c r="E277" s="6" t="s">
        <v>201</v>
      </c>
      <c r="F277" s="1"/>
      <c r="G277" s="1"/>
      <c r="J277" s="1" t="s">
        <v>9795</v>
      </c>
      <c r="K277" s="2" t="s">
        <v>7521</v>
      </c>
      <c r="L277" s="9" t="s">
        <v>10705</v>
      </c>
      <c r="P277" s="7" t="s">
        <v>1241</v>
      </c>
      <c r="AU277" s="15"/>
      <c r="AV277" s="1" t="s">
        <v>1502</v>
      </c>
      <c r="BG277" s="7" t="s">
        <v>1503</v>
      </c>
      <c r="BH277" s="1" t="s">
        <v>2031</v>
      </c>
      <c r="BI277" s="2" t="s">
        <v>2842</v>
      </c>
      <c r="BJ277" s="1" t="s">
        <v>2044</v>
      </c>
      <c r="BK277" s="2" t="s">
        <v>7522</v>
      </c>
      <c r="BL277" s="1" t="s">
        <v>1865</v>
      </c>
      <c r="BM277" s="2" t="s">
        <v>2843</v>
      </c>
    </row>
    <row r="278" spans="1:69" ht="162" x14ac:dyDescent="0.45">
      <c r="A278" s="5">
        <v>277</v>
      </c>
      <c r="B278" s="8" t="s">
        <v>1440</v>
      </c>
      <c r="C278" s="6" t="s">
        <v>6851</v>
      </c>
      <c r="D278" s="7" t="s">
        <v>9794</v>
      </c>
      <c r="E278" s="1" t="s">
        <v>1251</v>
      </c>
      <c r="F278" s="1" t="s">
        <v>7523</v>
      </c>
      <c r="G278" s="1" t="s">
        <v>1584</v>
      </c>
      <c r="J278" s="1" t="s">
        <v>9795</v>
      </c>
      <c r="K278" s="2" t="s">
        <v>7524</v>
      </c>
      <c r="L278" s="3" t="s">
        <v>8223</v>
      </c>
      <c r="M278" s="1" t="s">
        <v>12174</v>
      </c>
      <c r="P278" s="7" t="s">
        <v>1241</v>
      </c>
      <c r="Q278" s="14"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278" s="13"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AU278" s="15"/>
      <c r="AV278" s="1" t="s">
        <v>1502</v>
      </c>
      <c r="BG278" s="7" t="s">
        <v>1503</v>
      </c>
      <c r="BH278" s="1" t="s">
        <v>2780</v>
      </c>
      <c r="BI278" s="2" t="s">
        <v>7561</v>
      </c>
      <c r="BJ278" s="1" t="s">
        <v>2147</v>
      </c>
      <c r="BK278" s="2" t="s">
        <v>7525</v>
      </c>
      <c r="BL278" s="1" t="s">
        <v>2031</v>
      </c>
      <c r="BM278" s="2" t="s">
        <v>2844</v>
      </c>
      <c r="BN278" s="1" t="s">
        <v>2044</v>
      </c>
      <c r="BO278" s="2" t="s">
        <v>2845</v>
      </c>
      <c r="BP278" s="1" t="s">
        <v>1865</v>
      </c>
      <c r="BQ278" s="2" t="s">
        <v>2846</v>
      </c>
    </row>
    <row r="279" spans="1:69" ht="216" x14ac:dyDescent="0.45">
      <c r="A279" s="5">
        <v>278</v>
      </c>
      <c r="B279" s="8" t="s">
        <v>202</v>
      </c>
      <c r="C279" s="6" t="s">
        <v>6851</v>
      </c>
      <c r="D279" s="7" t="s">
        <v>9794</v>
      </c>
      <c r="E279" s="1" t="s">
        <v>31</v>
      </c>
      <c r="F279" s="1" t="s">
        <v>1441</v>
      </c>
      <c r="G279" s="1"/>
      <c r="J279" s="1" t="s">
        <v>9795</v>
      </c>
      <c r="K279" s="2" t="s">
        <v>7526</v>
      </c>
      <c r="L279" s="3" t="s">
        <v>8224</v>
      </c>
      <c r="M279" s="1" t="s">
        <v>12239</v>
      </c>
      <c r="P279" s="7" t="s">
        <v>1241</v>
      </c>
      <c r="Q279" s="14"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R279" s="14"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S279" s="14"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T279" s="14"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279" s="13"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AU279" s="15"/>
      <c r="AV279" s="1" t="s">
        <v>1502</v>
      </c>
      <c r="BG279" s="7" t="s">
        <v>1503</v>
      </c>
      <c r="BH279" s="1" t="s">
        <v>2780</v>
      </c>
      <c r="BI279" s="2" t="s">
        <v>2847</v>
      </c>
      <c r="BJ279" s="1" t="s">
        <v>2031</v>
      </c>
      <c r="BK279" s="2" t="s">
        <v>2848</v>
      </c>
      <c r="BL279" s="1" t="s">
        <v>2044</v>
      </c>
      <c r="BM279" s="2" t="s">
        <v>2849</v>
      </c>
      <c r="BN279" s="1" t="s">
        <v>1865</v>
      </c>
      <c r="BO279" s="2" t="s">
        <v>2850</v>
      </c>
    </row>
    <row r="280" spans="1:69" ht="306" x14ac:dyDescent="0.45">
      <c r="A280" s="5">
        <v>279</v>
      </c>
      <c r="B280" s="8" t="s">
        <v>1442</v>
      </c>
      <c r="C280" s="6" t="s">
        <v>6852</v>
      </c>
      <c r="D280" s="7" t="s">
        <v>9794</v>
      </c>
      <c r="E280" s="1" t="s">
        <v>6921</v>
      </c>
      <c r="F280" s="1" t="s">
        <v>8960</v>
      </c>
      <c r="G280" s="1" t="s">
        <v>1528</v>
      </c>
      <c r="J280" s="1" t="s">
        <v>9795</v>
      </c>
      <c r="K280" s="2" t="s">
        <v>7527</v>
      </c>
      <c r="L280" s="4" t="s">
        <v>9244</v>
      </c>
      <c r="M280" s="1" t="s">
        <v>12190</v>
      </c>
      <c r="P280" s="7" t="s">
        <v>1241</v>
      </c>
      <c r="Q280"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280" s="1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280"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280" s="14"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280" s="1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280" s="1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W280" s="14"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X280" s="14"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280" s="14"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280"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280" s="1" t="s">
        <v>1502</v>
      </c>
      <c r="BG280" s="7" t="s">
        <v>1503</v>
      </c>
      <c r="BH280" s="1" t="s">
        <v>2254</v>
      </c>
      <c r="BI280" s="1" t="s">
        <v>3355</v>
      </c>
      <c r="BJ280" s="1" t="s">
        <v>2780</v>
      </c>
      <c r="BK280" s="2" t="s">
        <v>2851</v>
      </c>
      <c r="BL280" s="1" t="s">
        <v>1883</v>
      </c>
      <c r="BM280" s="2" t="s">
        <v>2852</v>
      </c>
    </row>
    <row r="281" spans="1:69" ht="216" x14ac:dyDescent="0.45">
      <c r="A281" s="5">
        <v>280</v>
      </c>
      <c r="B281" s="8" t="s">
        <v>1443</v>
      </c>
      <c r="C281" s="6" t="s">
        <v>6852</v>
      </c>
      <c r="D281" s="7" t="s">
        <v>9794</v>
      </c>
      <c r="E281" s="1" t="s">
        <v>76</v>
      </c>
      <c r="F281" s="1" t="s">
        <v>5273</v>
      </c>
      <c r="G281" s="1"/>
      <c r="J281" s="1" t="s">
        <v>9795</v>
      </c>
      <c r="K281" s="2" t="s">
        <v>2853</v>
      </c>
      <c r="L281" s="4" t="s">
        <v>8225</v>
      </c>
      <c r="P281" s="7" t="s">
        <v>1241</v>
      </c>
      <c r="Q281" s="13"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AU281" s="15"/>
      <c r="AV281" s="1" t="s">
        <v>1502</v>
      </c>
      <c r="BG281" s="7" t="s">
        <v>1503</v>
      </c>
      <c r="BH281" s="1" t="s">
        <v>2423</v>
      </c>
      <c r="BI281" s="2" t="s">
        <v>2854</v>
      </c>
      <c r="BJ281" s="1" t="s">
        <v>2780</v>
      </c>
      <c r="BK281" s="2" t="s">
        <v>2855</v>
      </c>
      <c r="BL281" s="1" t="s">
        <v>2324</v>
      </c>
      <c r="BM281" s="2" t="s">
        <v>2856</v>
      </c>
      <c r="BN281" s="1" t="s">
        <v>2044</v>
      </c>
      <c r="BO281" s="2" t="s">
        <v>2857</v>
      </c>
      <c r="BP281" s="1" t="s">
        <v>1865</v>
      </c>
      <c r="BQ281" s="2" t="s">
        <v>2858</v>
      </c>
    </row>
    <row r="282" spans="1:69" ht="144" x14ac:dyDescent="0.45">
      <c r="A282" s="5">
        <v>281</v>
      </c>
      <c r="B282" s="8" t="s">
        <v>203</v>
      </c>
      <c r="C282" s="6" t="s">
        <v>6852</v>
      </c>
      <c r="D282" s="7" t="s">
        <v>9794</v>
      </c>
      <c r="E282" s="6" t="s">
        <v>1444</v>
      </c>
      <c r="F282" s="6" t="s">
        <v>1445</v>
      </c>
      <c r="G282" s="1"/>
      <c r="J282" s="1" t="s">
        <v>9795</v>
      </c>
      <c r="K282" s="2" t="s">
        <v>7562</v>
      </c>
      <c r="L282" s="3" t="s">
        <v>8226</v>
      </c>
      <c r="M282" s="1" t="s">
        <v>12177</v>
      </c>
      <c r="P282" s="7" t="s">
        <v>1241</v>
      </c>
      <c r="Q282" s="14"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282" s="13"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282" s="13"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T282" s="13"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282" s="13"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U282" s="15"/>
      <c r="AV282" s="1" t="s">
        <v>1502</v>
      </c>
      <c r="BG282" s="7" t="s">
        <v>1503</v>
      </c>
      <c r="BH282" s="1" t="s">
        <v>2780</v>
      </c>
      <c r="BI282" s="2" t="s">
        <v>2859</v>
      </c>
      <c r="BJ282" s="1" t="s">
        <v>2031</v>
      </c>
      <c r="BK282" s="2" t="s">
        <v>2860</v>
      </c>
      <c r="BL282" s="1" t="s">
        <v>2044</v>
      </c>
      <c r="BM282" s="2" t="s">
        <v>2861</v>
      </c>
      <c r="BN282" s="1" t="s">
        <v>3497</v>
      </c>
      <c r="BO282" s="2" t="s">
        <v>7528</v>
      </c>
    </row>
    <row r="283" spans="1:69" ht="162" x14ac:dyDescent="0.45">
      <c r="A283" s="5">
        <v>282</v>
      </c>
      <c r="B283" s="8" t="s">
        <v>1446</v>
      </c>
      <c r="C283" s="6" t="s">
        <v>6852</v>
      </c>
      <c r="D283" s="7" t="s">
        <v>9794</v>
      </c>
      <c r="E283" s="1" t="s">
        <v>8961</v>
      </c>
      <c r="F283" s="1" t="s">
        <v>6203</v>
      </c>
      <c r="G283" s="1" t="s">
        <v>49</v>
      </c>
      <c r="J283" s="1" t="s">
        <v>9795</v>
      </c>
      <c r="K283" s="2" t="s">
        <v>7529</v>
      </c>
      <c r="L283" s="4" t="s">
        <v>8227</v>
      </c>
      <c r="M283" s="1" t="s">
        <v>12240</v>
      </c>
      <c r="P283" s="7" t="s">
        <v>1241</v>
      </c>
      <c r="Q283"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R283"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S283"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T283"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U283"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V283"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W283"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283"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283"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283"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283" s="15"/>
      <c r="AV283" s="1" t="s">
        <v>1502</v>
      </c>
      <c r="BG283" s="7" t="s">
        <v>1503</v>
      </c>
      <c r="BH283" s="1" t="s">
        <v>2780</v>
      </c>
      <c r="BI283" s="2" t="s">
        <v>2862</v>
      </c>
      <c r="BJ283" s="1" t="s">
        <v>2031</v>
      </c>
      <c r="BK283" s="2" t="s">
        <v>2863</v>
      </c>
      <c r="BL283" s="1" t="s">
        <v>2044</v>
      </c>
      <c r="BM283" s="2" t="s">
        <v>2864</v>
      </c>
    </row>
    <row r="284" spans="1:69" ht="108" x14ac:dyDescent="0.45">
      <c r="A284" s="5">
        <v>283</v>
      </c>
      <c r="B284" s="8" t="s">
        <v>204</v>
      </c>
      <c r="C284" s="6" t="s">
        <v>6852</v>
      </c>
      <c r="D284" s="7" t="s">
        <v>9794</v>
      </c>
      <c r="E284" s="6" t="s">
        <v>204</v>
      </c>
      <c r="F284" s="1"/>
      <c r="G284" s="1"/>
      <c r="J284" s="1" t="s">
        <v>9795</v>
      </c>
      <c r="K284" s="2" t="s">
        <v>7530</v>
      </c>
      <c r="L284" s="9" t="s">
        <v>8228</v>
      </c>
      <c r="P284" s="7" t="s">
        <v>1241</v>
      </c>
      <c r="Q284" s="18" t="str">
        <f>INDEX($L:$L, MATCH("waste", $B:$B, 0))</f>
        <v>&lt;span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v>
      </c>
      <c r="AU284" s="15"/>
      <c r="AV284" s="1" t="s">
        <v>1502</v>
      </c>
      <c r="BG284" s="7" t="s">
        <v>1503</v>
      </c>
      <c r="BH284" s="1" t="s">
        <v>2780</v>
      </c>
      <c r="BI284" s="2" t="s">
        <v>7531</v>
      </c>
      <c r="BJ284" s="1" t="s">
        <v>2017</v>
      </c>
      <c r="BK284" s="2" t="s">
        <v>2865</v>
      </c>
      <c r="BL284" s="1" t="s">
        <v>1865</v>
      </c>
      <c r="BM284" s="2" t="s">
        <v>2866</v>
      </c>
    </row>
    <row r="285" spans="1:69" ht="72" x14ac:dyDescent="0.45">
      <c r="A285" s="5">
        <v>284</v>
      </c>
      <c r="B285" s="8" t="s">
        <v>205</v>
      </c>
      <c r="C285" s="6" t="s">
        <v>6852</v>
      </c>
      <c r="D285" s="7" t="s">
        <v>9794</v>
      </c>
      <c r="E285" s="1" t="s">
        <v>1413</v>
      </c>
      <c r="F285" s="1" t="s">
        <v>7532</v>
      </c>
      <c r="G285" s="1"/>
      <c r="J285" s="1" t="s">
        <v>9795</v>
      </c>
      <c r="K285" s="2" t="s">
        <v>7533</v>
      </c>
      <c r="L285" s="4" t="s">
        <v>8229</v>
      </c>
      <c r="M285" s="1" t="s">
        <v>12241</v>
      </c>
      <c r="P285" s="7" t="s">
        <v>1241</v>
      </c>
      <c r="Q285" s="13" t="str">
        <f>INDEX($L:$L, MATCH("extreme", $B:$B, 0))</f>
        <v>&lt;span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v>
      </c>
      <c r="R285" s="13" t="str">
        <f>INDEX($L:$L, MATCH("external", $B:$B, 0))</f>
        <v>&lt;span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v>
      </c>
      <c r="S285" s="13" t="str">
        <f>INDEX($L:$L, MATCH("exotic", $B:$B, 0))</f>
        <v>&lt;span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v>
      </c>
      <c r="AU285" s="15"/>
      <c r="AV285" s="1" t="s">
        <v>1502</v>
      </c>
      <c r="BG285" s="7" t="s">
        <v>1503</v>
      </c>
      <c r="BH285" s="1" t="s">
        <v>2780</v>
      </c>
      <c r="BI285" s="2" t="s">
        <v>7534</v>
      </c>
      <c r="BJ285" s="1" t="s">
        <v>1980</v>
      </c>
      <c r="BK285" s="1" t="s">
        <v>2867</v>
      </c>
      <c r="BL285" s="1" t="s">
        <v>1865</v>
      </c>
      <c r="BM285" s="2" t="s">
        <v>2868</v>
      </c>
    </row>
    <row r="286" spans="1:69" ht="288" x14ac:dyDescent="0.45">
      <c r="A286" s="5">
        <v>285</v>
      </c>
      <c r="B286" s="8" t="s">
        <v>206</v>
      </c>
      <c r="C286" s="6" t="s">
        <v>6852</v>
      </c>
      <c r="D286" s="7" t="s">
        <v>9794</v>
      </c>
      <c r="E286" s="6" t="s">
        <v>1447</v>
      </c>
      <c r="F286" s="1" t="s">
        <v>1448</v>
      </c>
      <c r="G286" s="1"/>
      <c r="J286" s="1" t="s">
        <v>9795</v>
      </c>
      <c r="K286" s="2" t="s">
        <v>7535</v>
      </c>
      <c r="L286" s="4" t="s">
        <v>8230</v>
      </c>
      <c r="M286" s="1" t="s">
        <v>12212</v>
      </c>
      <c r="P286" s="7" t="s">
        <v>1241</v>
      </c>
      <c r="Q286" s="14"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286" s="14"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S286" s="13"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AU286" s="15"/>
      <c r="AV286" s="1" t="s">
        <v>1502</v>
      </c>
      <c r="BG286" s="7" t="s">
        <v>1503</v>
      </c>
      <c r="BH286" s="1" t="s">
        <v>2780</v>
      </c>
      <c r="BI286" s="2" t="s">
        <v>2869</v>
      </c>
      <c r="BJ286" s="1" t="s">
        <v>2031</v>
      </c>
      <c r="BK286" s="2" t="s">
        <v>2870</v>
      </c>
      <c r="BL286" s="1" t="s">
        <v>2044</v>
      </c>
      <c r="BM286" s="2" t="s">
        <v>2871</v>
      </c>
    </row>
    <row r="287" spans="1:69" ht="216" x14ac:dyDescent="0.45">
      <c r="A287" s="5">
        <v>286</v>
      </c>
      <c r="B287" s="8" t="s">
        <v>1587</v>
      </c>
      <c r="C287" s="6" t="s">
        <v>6852</v>
      </c>
      <c r="D287" s="7" t="s">
        <v>9794</v>
      </c>
      <c r="E287" s="6" t="s">
        <v>1942</v>
      </c>
      <c r="F287" s="1" t="s">
        <v>1542</v>
      </c>
      <c r="G287" s="1"/>
      <c r="J287" s="1" t="s">
        <v>9795</v>
      </c>
      <c r="K287" s="2" t="s">
        <v>7536</v>
      </c>
      <c r="L287" s="9" t="s">
        <v>8627</v>
      </c>
      <c r="P287" s="7" t="s">
        <v>1241</v>
      </c>
      <c r="Q287" s="13" t="str">
        <f>INDEX($L:$L, MATCH("unfamiliar", $B:$B, 0))</f>
        <v>&lt;span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v>
      </c>
      <c r="AU287" s="15"/>
      <c r="AV287" s="1" t="s">
        <v>1502</v>
      </c>
      <c r="BG287" s="7" t="s">
        <v>1503</v>
      </c>
      <c r="BH287" s="1" t="s">
        <v>2780</v>
      </c>
      <c r="BI287" s="2" t="s">
        <v>2872</v>
      </c>
      <c r="BJ287" s="1" t="s">
        <v>2031</v>
      </c>
      <c r="BK287" s="2" t="s">
        <v>2873</v>
      </c>
      <c r="BL287" s="1" t="s">
        <v>2044</v>
      </c>
      <c r="BM287" s="2" t="s">
        <v>2874</v>
      </c>
      <c r="BN287" s="1" t="s">
        <v>1865</v>
      </c>
      <c r="BO287" s="2" t="s">
        <v>2875</v>
      </c>
    </row>
    <row r="288" spans="1:69" ht="198" x14ac:dyDescent="0.45">
      <c r="A288" s="5">
        <v>287</v>
      </c>
      <c r="B288" s="8" t="s">
        <v>207</v>
      </c>
      <c r="C288" s="6" t="s">
        <v>6852</v>
      </c>
      <c r="D288" s="7" t="s">
        <v>9794</v>
      </c>
      <c r="E288" s="1" t="s">
        <v>1397</v>
      </c>
      <c r="F288" s="1" t="s">
        <v>7545</v>
      </c>
      <c r="G288" s="1" t="s">
        <v>1858</v>
      </c>
      <c r="J288" s="1" t="s">
        <v>9795</v>
      </c>
      <c r="K288" s="2" t="s">
        <v>7537</v>
      </c>
      <c r="L288" s="3" t="s">
        <v>8231</v>
      </c>
      <c r="M288" s="1" t="s">
        <v>12242</v>
      </c>
      <c r="P288" s="7" t="s">
        <v>1241</v>
      </c>
      <c r="Q288" s="14"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R288" s="14" t="str">
        <f>INDEX($L:$L, MATCH("via", $B:$B, 0))</f>
        <v>&lt;span class="w"&gt;&lt;b&gt;【800.via：〜経由で】&lt;/b&gt;&lt;/span&gt;
&lt;span class="ml"&gt;ラテン語via（道, 〜経由で）に由来する。
&lt;span class="spacer"&gt;&lt;/span&gt;ラテン語から意味の変化はほとんどなく「〜経由で」という意味になる。&lt;/span&gt;</v>
      </c>
      <c r="S288" s="14"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T288" s="13"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AU288" s="15"/>
      <c r="AV288" s="1" t="s">
        <v>1502</v>
      </c>
      <c r="BG288" s="7" t="s">
        <v>1503</v>
      </c>
      <c r="BH288" s="1" t="s">
        <v>2780</v>
      </c>
      <c r="BI288" s="2" t="s">
        <v>2876</v>
      </c>
      <c r="BJ288" s="1" t="s">
        <v>1865</v>
      </c>
      <c r="BK288" s="2" t="s">
        <v>2877</v>
      </c>
    </row>
    <row r="289" spans="1:67" ht="162" x14ac:dyDescent="0.45">
      <c r="A289" s="5">
        <v>288</v>
      </c>
      <c r="B289" s="8" t="s">
        <v>1588</v>
      </c>
      <c r="C289" s="6" t="s">
        <v>6852</v>
      </c>
      <c r="D289" s="7" t="s">
        <v>9794</v>
      </c>
      <c r="E289" s="1" t="s">
        <v>7538</v>
      </c>
      <c r="F289" s="1" t="s">
        <v>49</v>
      </c>
      <c r="G289" s="1"/>
      <c r="J289" s="1" t="s">
        <v>9795</v>
      </c>
      <c r="K289" s="2" t="s">
        <v>7539</v>
      </c>
      <c r="L289" s="9" t="s">
        <v>9463</v>
      </c>
      <c r="P289" s="7" t="s">
        <v>1241</v>
      </c>
      <c r="AU289" s="15"/>
      <c r="AV289" s="1" t="s">
        <v>1502</v>
      </c>
      <c r="BG289" s="7" t="s">
        <v>1503</v>
      </c>
      <c r="BH289" s="1" t="s">
        <v>2780</v>
      </c>
      <c r="BI289" s="2" t="s">
        <v>9464</v>
      </c>
      <c r="BJ289" s="1" t="s">
        <v>2031</v>
      </c>
      <c r="BK289" s="2" t="s">
        <v>2878</v>
      </c>
      <c r="BL289" s="1" t="s">
        <v>2044</v>
      </c>
      <c r="BM289" s="2" t="s">
        <v>7540</v>
      </c>
      <c r="BN289" s="1" t="s">
        <v>1865</v>
      </c>
      <c r="BO289" s="2" t="s">
        <v>7541</v>
      </c>
    </row>
    <row r="290" spans="1:67" ht="126" x14ac:dyDescent="0.45">
      <c r="A290" s="5">
        <v>289</v>
      </c>
      <c r="B290" s="8" t="s">
        <v>1589</v>
      </c>
      <c r="C290" s="6" t="s">
        <v>6852</v>
      </c>
      <c r="D290" s="7" t="s">
        <v>9794</v>
      </c>
      <c r="E290" s="6" t="s">
        <v>1918</v>
      </c>
      <c r="F290" s="1" t="s">
        <v>1541</v>
      </c>
      <c r="G290" s="1"/>
      <c r="J290" s="1" t="s">
        <v>9795</v>
      </c>
      <c r="K290" s="2" t="s">
        <v>7542</v>
      </c>
      <c r="L290" s="4" t="s">
        <v>8232</v>
      </c>
      <c r="M290" s="1" t="s">
        <v>12243</v>
      </c>
      <c r="P290" s="7" t="s">
        <v>1241</v>
      </c>
      <c r="Q290" s="14"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R290" s="13"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S290" s="13"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AU290" s="15"/>
      <c r="AV290" s="1" t="s">
        <v>1502</v>
      </c>
      <c r="BG290" s="7" t="s">
        <v>1503</v>
      </c>
      <c r="BH290" s="1" t="s">
        <v>2780</v>
      </c>
      <c r="BI290" s="2" t="s">
        <v>7543</v>
      </c>
      <c r="BJ290" s="1" t="s">
        <v>2031</v>
      </c>
      <c r="BK290" s="2" t="s">
        <v>2879</v>
      </c>
      <c r="BL290" s="1" t="s">
        <v>2044</v>
      </c>
      <c r="BM290" s="2" t="s">
        <v>2880</v>
      </c>
      <c r="BN290" s="1" t="s">
        <v>1865</v>
      </c>
      <c r="BO290" s="2" t="s">
        <v>2881</v>
      </c>
    </row>
    <row r="291" spans="1:67" ht="144" x14ac:dyDescent="0.45">
      <c r="A291" s="5">
        <v>290</v>
      </c>
      <c r="B291" s="8" t="s">
        <v>1590</v>
      </c>
      <c r="C291" s="6" t="s">
        <v>6852</v>
      </c>
      <c r="D291" s="7" t="s">
        <v>9794</v>
      </c>
      <c r="E291" s="6" t="s">
        <v>8962</v>
      </c>
      <c r="F291" s="1" t="s">
        <v>49</v>
      </c>
      <c r="G291" s="1"/>
      <c r="J291" s="1" t="s">
        <v>9795</v>
      </c>
      <c r="K291" s="2" t="s">
        <v>7544</v>
      </c>
      <c r="L291" s="4" t="s">
        <v>8233</v>
      </c>
      <c r="M291" s="1" t="s">
        <v>12244</v>
      </c>
      <c r="P291" s="7" t="s">
        <v>1241</v>
      </c>
      <c r="Q291" s="14" t="str">
        <f>INDEX($L:$L, MATCH("inequality", $B:$B, 0))</f>
        <v>&lt;span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v>
      </c>
      <c r="R291" s="13" t="str">
        <f>INDEX($L:$L, MATCH("adequate", $B:$B, 0))</f>
        <v>&lt;span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v>
      </c>
      <c r="AU291" s="15"/>
      <c r="AV291" s="1" t="s">
        <v>1502</v>
      </c>
      <c r="BG291" s="7" t="s">
        <v>1503</v>
      </c>
      <c r="BH291" s="1" t="s">
        <v>2780</v>
      </c>
      <c r="BI291" s="2" t="s">
        <v>2882</v>
      </c>
      <c r="BJ291" s="1" t="s">
        <v>2044</v>
      </c>
      <c r="BK291" s="2" t="s">
        <v>2883</v>
      </c>
    </row>
    <row r="292" spans="1:67" ht="198" x14ac:dyDescent="0.45">
      <c r="A292" s="5">
        <v>291</v>
      </c>
      <c r="B292" s="8" t="s">
        <v>208</v>
      </c>
      <c r="C292" s="6" t="s">
        <v>6852</v>
      </c>
      <c r="D292" s="7" t="s">
        <v>9794</v>
      </c>
      <c r="E292" s="1" t="s">
        <v>1338</v>
      </c>
      <c r="F292" s="1" t="s">
        <v>7545</v>
      </c>
      <c r="G292" s="1" t="s">
        <v>1858</v>
      </c>
      <c r="J292" s="1" t="s">
        <v>9795</v>
      </c>
      <c r="K292" s="2" t="s">
        <v>7537</v>
      </c>
      <c r="L292" s="3" t="s">
        <v>8234</v>
      </c>
      <c r="M292" s="1" t="s">
        <v>12242</v>
      </c>
      <c r="P292" s="7" t="s">
        <v>1241</v>
      </c>
      <c r="Q292" s="14"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292" s="14" t="str">
        <f>INDEX($L:$L, MATCH("via", $B:$B, 0))</f>
        <v>&lt;span class="w"&gt;&lt;b&gt;【800.via：〜経由で】&lt;/b&gt;&lt;/span&gt;
&lt;span class="ml"&gt;ラテン語via（道, 〜経由で）に由来する。
&lt;span class="spacer"&gt;&lt;/span&gt;ラテン語から意味の変化はほとんどなく「〜経由で」という意味になる。&lt;/span&gt;</v>
      </c>
      <c r="S292" s="14"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T292" s="13"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AU292" s="15"/>
      <c r="AV292" s="1" t="s">
        <v>1502</v>
      </c>
      <c r="BG292" s="7" t="s">
        <v>1503</v>
      </c>
      <c r="BH292" s="1" t="s">
        <v>2780</v>
      </c>
      <c r="BI292" s="2" t="s">
        <v>2884</v>
      </c>
      <c r="BJ292" s="1" t="s">
        <v>1865</v>
      </c>
      <c r="BK292" s="2" t="s">
        <v>2885</v>
      </c>
    </row>
    <row r="293" spans="1:67" ht="90" x14ac:dyDescent="0.45">
      <c r="A293" s="5">
        <v>292</v>
      </c>
      <c r="B293" s="8" t="s">
        <v>1591</v>
      </c>
      <c r="C293" s="6" t="s">
        <v>6852</v>
      </c>
      <c r="D293" s="7" t="s">
        <v>9794</v>
      </c>
      <c r="E293" s="6" t="s">
        <v>1449</v>
      </c>
      <c r="F293" s="1"/>
      <c r="G293" s="1"/>
      <c r="J293" s="1" t="s">
        <v>9795</v>
      </c>
      <c r="K293" s="2" t="s">
        <v>7546</v>
      </c>
      <c r="L293" s="9" t="s">
        <v>8235</v>
      </c>
      <c r="P293" s="7" t="s">
        <v>1241</v>
      </c>
      <c r="Q293" s="13" t="str">
        <f>INDEX($L:$L, MATCH("fault", $B:$B, 0))</f>
        <v>&lt;span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v>
      </c>
      <c r="AU293" s="15"/>
      <c r="AV293" s="1" t="s">
        <v>1502</v>
      </c>
      <c r="BG293" s="7" t="s">
        <v>1503</v>
      </c>
      <c r="BH293" s="1" t="s">
        <v>2780</v>
      </c>
      <c r="BI293" s="2" t="s">
        <v>7547</v>
      </c>
      <c r="BJ293" s="1" t="s">
        <v>2031</v>
      </c>
      <c r="BK293" s="2" t="s">
        <v>2886</v>
      </c>
      <c r="BL293" s="1" t="s">
        <v>2887</v>
      </c>
      <c r="BM293" s="1" t="s">
        <v>2888</v>
      </c>
      <c r="BN293" s="1" t="s">
        <v>2044</v>
      </c>
      <c r="BO293" s="2" t="s">
        <v>2889</v>
      </c>
    </row>
    <row r="294" spans="1:67" ht="126" x14ac:dyDescent="0.45">
      <c r="A294" s="5">
        <v>293</v>
      </c>
      <c r="B294" s="8" t="s">
        <v>209</v>
      </c>
      <c r="C294" s="6" t="s">
        <v>6852</v>
      </c>
      <c r="D294" s="7" t="s">
        <v>9794</v>
      </c>
      <c r="E294" s="1" t="s">
        <v>209</v>
      </c>
      <c r="F294" s="1"/>
      <c r="G294" s="1"/>
      <c r="J294" s="1" t="s">
        <v>9795</v>
      </c>
      <c r="K294" s="2" t="s">
        <v>7548</v>
      </c>
      <c r="L294" s="9" t="s">
        <v>8236</v>
      </c>
      <c r="P294" s="7" t="s">
        <v>1241</v>
      </c>
      <c r="AU294" s="15"/>
      <c r="AV294" s="1" t="s">
        <v>1502</v>
      </c>
      <c r="BG294" s="7" t="s">
        <v>1503</v>
      </c>
      <c r="BH294" s="1" t="s">
        <v>2780</v>
      </c>
      <c r="BI294" s="2" t="s">
        <v>2890</v>
      </c>
      <c r="BJ294" s="1" t="s">
        <v>2031</v>
      </c>
      <c r="BK294" s="2" t="s">
        <v>2891</v>
      </c>
      <c r="BL294" s="1" t="s">
        <v>2044</v>
      </c>
      <c r="BM294" s="2" t="s">
        <v>2892</v>
      </c>
    </row>
    <row r="295" spans="1:67" ht="198" x14ac:dyDescent="0.45">
      <c r="A295" s="5">
        <v>294</v>
      </c>
      <c r="B295" s="8" t="s">
        <v>1253</v>
      </c>
      <c r="C295" s="6" t="s">
        <v>6852</v>
      </c>
      <c r="D295" s="7" t="s">
        <v>9794</v>
      </c>
      <c r="E295" s="1" t="s">
        <v>8963</v>
      </c>
      <c r="F295" s="1" t="s">
        <v>49</v>
      </c>
      <c r="G295" s="1"/>
      <c r="J295" s="1" t="s">
        <v>9795</v>
      </c>
      <c r="K295" s="2" t="s">
        <v>7549</v>
      </c>
      <c r="L295" s="9" t="s">
        <v>8237</v>
      </c>
      <c r="P295" s="7" t="s">
        <v>1241</v>
      </c>
      <c r="Q295" s="14"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R295" s="14"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S295" s="15"/>
      <c r="AU295" s="15"/>
      <c r="AV295" s="1" t="s">
        <v>1502</v>
      </c>
      <c r="BG295" s="7" t="s">
        <v>1503</v>
      </c>
      <c r="BH295" s="1" t="s">
        <v>2780</v>
      </c>
      <c r="BI295" s="2" t="s">
        <v>2893</v>
      </c>
      <c r="BJ295" s="1" t="s">
        <v>2031</v>
      </c>
      <c r="BK295" s="2" t="s">
        <v>2894</v>
      </c>
      <c r="BL295" s="1" t="s">
        <v>2044</v>
      </c>
      <c r="BM295" s="2" t="s">
        <v>2895</v>
      </c>
      <c r="BN295" s="1" t="s">
        <v>1865</v>
      </c>
      <c r="BO295" s="2" t="s">
        <v>2896</v>
      </c>
    </row>
    <row r="296" spans="1:67" ht="409.6" x14ac:dyDescent="0.45">
      <c r="A296" s="5">
        <v>295</v>
      </c>
      <c r="B296" s="8" t="s">
        <v>1450</v>
      </c>
      <c r="C296" s="6" t="s">
        <v>6852</v>
      </c>
      <c r="D296" s="7" t="s">
        <v>9794</v>
      </c>
      <c r="E296" s="1" t="s">
        <v>27</v>
      </c>
      <c r="F296" s="1" t="s">
        <v>8964</v>
      </c>
      <c r="G296" s="1"/>
      <c r="J296" s="1" t="s">
        <v>9795</v>
      </c>
      <c r="K296" s="2" t="s">
        <v>7550</v>
      </c>
      <c r="L296" s="4" t="s">
        <v>8238</v>
      </c>
      <c r="M296" s="1" t="s">
        <v>12181</v>
      </c>
      <c r="P296" s="7" t="s">
        <v>1241</v>
      </c>
      <c r="Q296" s="14"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296" s="14"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S296" s="14"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T296" s="14"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U296" s="14"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296" s="14"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296" s="15"/>
      <c r="AU296" s="15"/>
      <c r="AV296" s="1" t="s">
        <v>1502</v>
      </c>
      <c r="BG296" s="7" t="s">
        <v>1503</v>
      </c>
      <c r="BH296" s="1" t="s">
        <v>1947</v>
      </c>
      <c r="BI296" s="2" t="s">
        <v>7551</v>
      </c>
      <c r="BJ296" s="1" t="s">
        <v>1959</v>
      </c>
      <c r="BK296" s="2" t="s">
        <v>7552</v>
      </c>
      <c r="BL296" s="1" t="s">
        <v>1875</v>
      </c>
      <c r="BM296" s="2" t="s">
        <v>7553</v>
      </c>
      <c r="BN296" s="1" t="s">
        <v>1865</v>
      </c>
      <c r="BO296" s="2" t="s">
        <v>2897</v>
      </c>
    </row>
    <row r="297" spans="1:67" ht="90" x14ac:dyDescent="0.45">
      <c r="A297" s="5">
        <v>296</v>
      </c>
      <c r="B297" s="8" t="s">
        <v>210</v>
      </c>
      <c r="C297" s="6" t="s">
        <v>6852</v>
      </c>
      <c r="D297" s="7" t="s">
        <v>9794</v>
      </c>
      <c r="E297" s="6" t="s">
        <v>210</v>
      </c>
      <c r="F297" s="1"/>
      <c r="G297" s="1"/>
      <c r="J297" s="1" t="s">
        <v>9795</v>
      </c>
      <c r="K297" s="2" t="s">
        <v>7554</v>
      </c>
      <c r="L297" s="9" t="s">
        <v>8239</v>
      </c>
      <c r="M297" s="1" t="s">
        <v>12241</v>
      </c>
      <c r="P297" s="7" t="s">
        <v>1241</v>
      </c>
      <c r="Q297" s="14" t="str">
        <f>INDEX($L:$L, MATCH("extra", $B:$B, 0))</f>
        <v>&lt;span class="w"&gt;&lt;b&gt;【284.extra：追加の, 余分の】&lt;/b&gt;&lt;/span&gt;
&lt;span class="ml"&gt;ラテン語ex（外の）から派生したexterus（外側の）に由来する。
&lt;span class="spacer"&gt;&lt;/span&gt;「外側の」から、ある範囲を超えている＝「追加の, 余分の」という意味になる。&lt;/span&gt;</v>
      </c>
      <c r="R297" s="13" t="str">
        <f>INDEX($L:$L, MATCH("external", $B:$B, 0))</f>
        <v>&lt;span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v>
      </c>
      <c r="S297" s="13" t="str">
        <f>INDEX($L:$L, MATCH("exotic", $B:$B, 0))</f>
        <v>&lt;span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v>
      </c>
      <c r="AU297" s="15"/>
      <c r="AV297" s="1" t="s">
        <v>1502</v>
      </c>
      <c r="BG297" s="7" t="s">
        <v>1503</v>
      </c>
      <c r="BH297" s="1" t="s">
        <v>2780</v>
      </c>
      <c r="BI297" s="2" t="s">
        <v>2898</v>
      </c>
      <c r="BJ297" s="1" t="s">
        <v>2031</v>
      </c>
      <c r="BK297" s="2" t="s">
        <v>2899</v>
      </c>
      <c r="BL297" s="1" t="s">
        <v>2044</v>
      </c>
      <c r="BM297" s="2" t="s">
        <v>2900</v>
      </c>
    </row>
    <row r="298" spans="1:67" ht="378" x14ac:dyDescent="0.45">
      <c r="A298" s="5">
        <v>297</v>
      </c>
      <c r="B298" s="8" t="s">
        <v>1451</v>
      </c>
      <c r="C298" s="6" t="s">
        <v>6852</v>
      </c>
      <c r="D298" s="7" t="s">
        <v>9794</v>
      </c>
      <c r="E298" s="1" t="s">
        <v>8965</v>
      </c>
      <c r="F298" s="1" t="s">
        <v>49</v>
      </c>
      <c r="G298" s="1"/>
      <c r="J298" s="1" t="s">
        <v>9795</v>
      </c>
      <c r="K298" s="2" t="s">
        <v>7555</v>
      </c>
      <c r="L298" s="4" t="s">
        <v>8240</v>
      </c>
      <c r="M298" s="1" t="s">
        <v>12228</v>
      </c>
      <c r="P298" s="7" t="s">
        <v>1241</v>
      </c>
      <c r="Q298" s="1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298" s="1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S298" s="1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T298" s="1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298" s="1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298" s="1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298" s="1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298" s="1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298" s="15"/>
      <c r="AV298" s="1" t="s">
        <v>1502</v>
      </c>
      <c r="BG298" s="7" t="s">
        <v>1503</v>
      </c>
      <c r="BH298" s="1" t="s">
        <v>2780</v>
      </c>
      <c r="BI298" s="2" t="s">
        <v>2901</v>
      </c>
      <c r="BJ298" s="1" t="s">
        <v>2031</v>
      </c>
      <c r="BK298" s="2" t="s">
        <v>2902</v>
      </c>
      <c r="BL298" s="1" t="s">
        <v>2044</v>
      </c>
      <c r="BM298" s="2" t="s">
        <v>2903</v>
      </c>
    </row>
    <row r="299" spans="1:67" ht="126" x14ac:dyDescent="0.45">
      <c r="A299" s="5">
        <v>298</v>
      </c>
      <c r="B299" s="8" t="s">
        <v>1592</v>
      </c>
      <c r="C299" s="6" t="s">
        <v>6852</v>
      </c>
      <c r="D299" s="7" t="s">
        <v>9794</v>
      </c>
      <c r="E299" s="6" t="s">
        <v>8966</v>
      </c>
      <c r="F299" s="1" t="s">
        <v>1593</v>
      </c>
      <c r="G299" s="1"/>
      <c r="J299" s="1" t="s">
        <v>9795</v>
      </c>
      <c r="K299" s="2" t="s">
        <v>7556</v>
      </c>
      <c r="L299" s="9" t="s">
        <v>8241</v>
      </c>
      <c r="P299" s="7" t="s">
        <v>1241</v>
      </c>
      <c r="AV299" s="1" t="s">
        <v>1502</v>
      </c>
      <c r="BG299" s="7" t="s">
        <v>1503</v>
      </c>
      <c r="BH299" s="1" t="s">
        <v>2648</v>
      </c>
      <c r="BI299" s="1" t="s">
        <v>2904</v>
      </c>
      <c r="BJ299" s="1" t="s">
        <v>2044</v>
      </c>
      <c r="BK299" s="2" t="s">
        <v>2905</v>
      </c>
    </row>
    <row r="300" spans="1:67" ht="180" x14ac:dyDescent="0.45">
      <c r="A300" s="5">
        <v>299</v>
      </c>
      <c r="B300" s="8" t="s">
        <v>1594</v>
      </c>
      <c r="C300" s="6" t="s">
        <v>6852</v>
      </c>
      <c r="D300" s="7" t="s">
        <v>9794</v>
      </c>
      <c r="E300" s="1" t="s">
        <v>8967</v>
      </c>
      <c r="F300" s="1" t="s">
        <v>1595</v>
      </c>
      <c r="G300" s="1"/>
      <c r="J300" s="1" t="s">
        <v>9795</v>
      </c>
      <c r="K300" s="2" t="s">
        <v>7557</v>
      </c>
      <c r="L300" s="4" t="s">
        <v>8242</v>
      </c>
      <c r="M300" s="1" t="s">
        <v>12245</v>
      </c>
      <c r="P300" s="7" t="s">
        <v>1241</v>
      </c>
      <c r="Q300" s="14" t="str">
        <f>INDEX($L:$L, MATCH("rural", $B:$B, 0))</f>
        <v>&lt;span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v>
      </c>
      <c r="AU300" s="15"/>
      <c r="AV300" s="1" t="s">
        <v>1502</v>
      </c>
      <c r="BG300" s="7" t="s">
        <v>1503</v>
      </c>
      <c r="BH300" s="1" t="s">
        <v>2780</v>
      </c>
      <c r="BI300" s="2" t="s">
        <v>2906</v>
      </c>
      <c r="BJ300" s="1" t="s">
        <v>1865</v>
      </c>
      <c r="BK300" s="2" t="s">
        <v>2907</v>
      </c>
    </row>
    <row r="301" spans="1:67" ht="162" x14ac:dyDescent="0.45">
      <c r="A301" s="5">
        <v>300</v>
      </c>
      <c r="B301" s="8" t="s">
        <v>211</v>
      </c>
      <c r="C301" s="6" t="s">
        <v>6855</v>
      </c>
      <c r="D301" s="7" t="s">
        <v>9794</v>
      </c>
      <c r="E301" s="6" t="s">
        <v>1452</v>
      </c>
      <c r="F301" s="1" t="s">
        <v>1392</v>
      </c>
      <c r="G301" s="1"/>
      <c r="J301" s="1" t="s">
        <v>9795</v>
      </c>
      <c r="K301" s="2" t="s">
        <v>7558</v>
      </c>
      <c r="L301" s="9" t="s">
        <v>8243</v>
      </c>
      <c r="P301" s="7" t="s">
        <v>1241</v>
      </c>
      <c r="AU301" s="15"/>
      <c r="AV301" s="1" t="s">
        <v>1502</v>
      </c>
      <c r="BG301" s="7" t="s">
        <v>1503</v>
      </c>
      <c r="BH301" s="1" t="s">
        <v>2044</v>
      </c>
      <c r="BI301" s="2" t="s">
        <v>2908</v>
      </c>
    </row>
    <row r="302" spans="1:67" ht="288" x14ac:dyDescent="0.45">
      <c r="A302" s="5">
        <v>301</v>
      </c>
      <c r="B302" s="8" t="s">
        <v>1453</v>
      </c>
      <c r="C302" s="6" t="s">
        <v>1816</v>
      </c>
      <c r="D302" s="7" t="s">
        <v>9794</v>
      </c>
      <c r="E302" s="1" t="s">
        <v>1338</v>
      </c>
      <c r="F302" s="1" t="s">
        <v>6823</v>
      </c>
      <c r="G302" s="1"/>
      <c r="J302" s="1" t="s">
        <v>9795</v>
      </c>
      <c r="K302" s="2" t="s">
        <v>7563</v>
      </c>
      <c r="L302" s="3" t="s">
        <v>8244</v>
      </c>
      <c r="M302" s="1" t="s">
        <v>12229</v>
      </c>
      <c r="P302" s="7" t="s">
        <v>1241</v>
      </c>
      <c r="Q302" s="14"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302" s="14"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S302" s="1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302" s="14"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U302" s="14"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V302" s="14"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AU302" s="15"/>
      <c r="AV302" s="1" t="s">
        <v>1502</v>
      </c>
      <c r="BG302" s="7" t="s">
        <v>1503</v>
      </c>
      <c r="BH302" s="1" t="s">
        <v>2780</v>
      </c>
      <c r="BI302" s="2" t="s">
        <v>2909</v>
      </c>
      <c r="BJ302" s="1" t="s">
        <v>1865</v>
      </c>
      <c r="BK302" s="2" t="s">
        <v>2910</v>
      </c>
    </row>
    <row r="303" spans="1:67" ht="180" x14ac:dyDescent="0.45">
      <c r="A303" s="5">
        <v>302</v>
      </c>
      <c r="B303" s="8" t="s">
        <v>7906</v>
      </c>
      <c r="C303" s="6" t="s">
        <v>1816</v>
      </c>
      <c r="D303" s="7" t="s">
        <v>9794</v>
      </c>
      <c r="E303" s="1" t="s">
        <v>7906</v>
      </c>
      <c r="F303" s="1"/>
      <c r="G303" s="1"/>
      <c r="J303" s="1" t="s">
        <v>9795</v>
      </c>
      <c r="K303" s="2" t="s">
        <v>7907</v>
      </c>
      <c r="L303" s="2" t="s">
        <v>8245</v>
      </c>
      <c r="P303" s="7" t="s">
        <v>1241</v>
      </c>
      <c r="Q303" s="15"/>
      <c r="R303" s="15"/>
      <c r="S303" s="15"/>
      <c r="T303" s="15"/>
      <c r="U303" s="15"/>
      <c r="V303" s="15"/>
      <c r="W303" s="15"/>
      <c r="X303" s="15"/>
      <c r="Y303" s="15"/>
      <c r="AU303" s="15"/>
      <c r="BG303" s="7" t="s">
        <v>1503</v>
      </c>
      <c r="BH303" s="1" t="s">
        <v>2780</v>
      </c>
      <c r="BI303" s="2" t="s">
        <v>7908</v>
      </c>
      <c r="BJ303" s="1" t="s">
        <v>2031</v>
      </c>
      <c r="BK303" s="2" t="s">
        <v>2911</v>
      </c>
      <c r="BL303" s="1" t="s">
        <v>2044</v>
      </c>
      <c r="BM303" s="2" t="s">
        <v>7564</v>
      </c>
    </row>
    <row r="304" spans="1:67" ht="108" x14ac:dyDescent="0.45">
      <c r="A304" s="5">
        <v>303</v>
      </c>
      <c r="B304" s="8" t="s">
        <v>212</v>
      </c>
      <c r="C304" s="6" t="s">
        <v>1816</v>
      </c>
      <c r="D304" s="7" t="s">
        <v>9794</v>
      </c>
      <c r="E304" s="6" t="s">
        <v>212</v>
      </c>
      <c r="F304" s="1"/>
      <c r="G304" s="1"/>
      <c r="J304" s="1" t="s">
        <v>9795</v>
      </c>
      <c r="K304" s="2"/>
      <c r="L304" s="9" t="s">
        <v>8246</v>
      </c>
      <c r="P304" s="7" t="s">
        <v>1241</v>
      </c>
      <c r="AV304" s="1" t="s">
        <v>1502</v>
      </c>
      <c r="BG304" s="7" t="s">
        <v>1503</v>
      </c>
      <c r="BH304" s="1" t="s">
        <v>2912</v>
      </c>
      <c r="BI304" s="1" t="s">
        <v>2913</v>
      </c>
      <c r="BJ304" s="1" t="s">
        <v>2044</v>
      </c>
      <c r="BK304" s="2" t="s">
        <v>2914</v>
      </c>
    </row>
    <row r="305" spans="1:69" ht="162" x14ac:dyDescent="0.45">
      <c r="A305" s="5">
        <v>304</v>
      </c>
      <c r="B305" s="8" t="s">
        <v>213</v>
      </c>
      <c r="C305" s="6" t="s">
        <v>1816</v>
      </c>
      <c r="D305" s="7" t="s">
        <v>9794</v>
      </c>
      <c r="E305" s="6" t="s">
        <v>213</v>
      </c>
      <c r="F305" s="1"/>
      <c r="G305" s="1"/>
      <c r="J305" s="1" t="s">
        <v>9795</v>
      </c>
      <c r="K305" s="2" t="s">
        <v>7565</v>
      </c>
      <c r="L305" s="4" t="s">
        <v>8247</v>
      </c>
      <c r="M305" s="1" t="s">
        <v>12246</v>
      </c>
      <c r="P305" s="7" t="s">
        <v>1241</v>
      </c>
      <c r="Q305" s="13"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305" s="13"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S305" s="13"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T305" s="13"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U305" s="13"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AV305" s="1" t="s">
        <v>1502</v>
      </c>
      <c r="BG305" s="7" t="s">
        <v>1503</v>
      </c>
      <c r="BH305" s="1" t="s">
        <v>2569</v>
      </c>
      <c r="BI305" s="1" t="s">
        <v>2915</v>
      </c>
      <c r="BJ305" s="1" t="s">
        <v>2648</v>
      </c>
      <c r="BK305" s="1" t="s">
        <v>2916</v>
      </c>
      <c r="BL305" s="1" t="s">
        <v>2044</v>
      </c>
      <c r="BM305" s="2" t="s">
        <v>2917</v>
      </c>
    </row>
    <row r="306" spans="1:69" ht="144" x14ac:dyDescent="0.45">
      <c r="A306" s="5">
        <v>305</v>
      </c>
      <c r="B306" s="8" t="s">
        <v>214</v>
      </c>
      <c r="C306" s="6" t="s">
        <v>1816</v>
      </c>
      <c r="D306" s="7" t="s">
        <v>9794</v>
      </c>
      <c r="E306" s="1" t="s">
        <v>1454</v>
      </c>
      <c r="F306" s="1" t="s">
        <v>1455</v>
      </c>
      <c r="G306" s="1"/>
      <c r="J306" s="1" t="s">
        <v>9795</v>
      </c>
      <c r="K306" s="2" t="s">
        <v>7566</v>
      </c>
      <c r="L306" s="3" t="s">
        <v>8248</v>
      </c>
      <c r="P306" s="7" t="s">
        <v>1241</v>
      </c>
      <c r="Q306" s="13" t="str">
        <f>INDEX($L:$L, MATCH("emergency", $B:$B, 0))</f>
        <v>&lt;span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v>
      </c>
      <c r="AU306" s="15"/>
      <c r="AV306" s="1" t="s">
        <v>1502</v>
      </c>
      <c r="BG306" s="7" t="s">
        <v>1503</v>
      </c>
      <c r="BH306" s="1" t="s">
        <v>2780</v>
      </c>
      <c r="BI306" s="2" t="s">
        <v>2918</v>
      </c>
      <c r="BJ306" s="1" t="s">
        <v>2031</v>
      </c>
      <c r="BK306" s="2" t="s">
        <v>2919</v>
      </c>
      <c r="BL306" s="1" t="s">
        <v>1865</v>
      </c>
      <c r="BM306" s="2" t="s">
        <v>2920</v>
      </c>
    </row>
    <row r="307" spans="1:69" ht="72" x14ac:dyDescent="0.45">
      <c r="A307" s="5">
        <v>306</v>
      </c>
      <c r="B307" s="8" t="s">
        <v>1478</v>
      </c>
      <c r="C307" s="6" t="s">
        <v>1816</v>
      </c>
      <c r="D307" s="7" t="s">
        <v>9794</v>
      </c>
      <c r="E307" s="1" t="s">
        <v>215</v>
      </c>
      <c r="F307" s="1"/>
      <c r="G307" s="1"/>
      <c r="J307" s="1" t="s">
        <v>9795</v>
      </c>
      <c r="K307" s="2" t="s">
        <v>7567</v>
      </c>
      <c r="L307" s="4" t="s">
        <v>8249</v>
      </c>
      <c r="P307" s="7" t="s">
        <v>1241</v>
      </c>
      <c r="Q307" s="16"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AU307" s="15"/>
      <c r="AV307" s="1" t="s">
        <v>1502</v>
      </c>
      <c r="BG307" s="7" t="s">
        <v>1503</v>
      </c>
      <c r="BH307" s="1" t="s">
        <v>2780</v>
      </c>
      <c r="BI307" s="2" t="s">
        <v>2921</v>
      </c>
      <c r="BJ307" s="1" t="s">
        <v>2031</v>
      </c>
      <c r="BK307" s="2" t="s">
        <v>2922</v>
      </c>
      <c r="BL307" s="1" t="s">
        <v>2044</v>
      </c>
      <c r="BM307" s="2" t="s">
        <v>2923</v>
      </c>
    </row>
    <row r="308" spans="1:69" ht="144" x14ac:dyDescent="0.45">
      <c r="A308" s="5">
        <v>307</v>
      </c>
      <c r="B308" s="8" t="s">
        <v>1479</v>
      </c>
      <c r="C308" s="6" t="s">
        <v>1816</v>
      </c>
      <c r="D308" s="7" t="s">
        <v>9794</v>
      </c>
      <c r="E308" s="1" t="s">
        <v>1251</v>
      </c>
      <c r="F308" s="1" t="s">
        <v>8968</v>
      </c>
      <c r="G308" s="1"/>
      <c r="J308" s="1" t="s">
        <v>9795</v>
      </c>
      <c r="K308" s="2" t="s">
        <v>7568</v>
      </c>
      <c r="L308" s="4" t="s">
        <v>8250</v>
      </c>
      <c r="P308" s="7" t="s">
        <v>1241</v>
      </c>
      <c r="Q308" s="13" t="str">
        <f>INDEX($L:$L, MATCH("relax", $B:$B, 0))</f>
        <v>&lt;span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v>
      </c>
      <c r="AU308" s="15"/>
      <c r="AV308" s="1" t="s">
        <v>1502</v>
      </c>
      <c r="BG308" s="7" t="s">
        <v>1503</v>
      </c>
      <c r="BH308" s="1" t="s">
        <v>2780</v>
      </c>
      <c r="BI308" s="2" t="s">
        <v>7569</v>
      </c>
      <c r="BJ308" s="1" t="s">
        <v>2031</v>
      </c>
      <c r="BK308" s="2" t="s">
        <v>2924</v>
      </c>
      <c r="BL308" s="1" t="s">
        <v>2044</v>
      </c>
      <c r="BM308" s="2" t="s">
        <v>2925</v>
      </c>
      <c r="BN308" s="1" t="s">
        <v>1860</v>
      </c>
      <c r="BO308" s="2" t="s">
        <v>2926</v>
      </c>
    </row>
    <row r="309" spans="1:69" ht="216" x14ac:dyDescent="0.45">
      <c r="A309" s="5">
        <v>308</v>
      </c>
      <c r="B309" s="8" t="s">
        <v>1480</v>
      </c>
      <c r="C309" s="6" t="s">
        <v>1816</v>
      </c>
      <c r="D309" s="7" t="s">
        <v>9794</v>
      </c>
      <c r="E309" s="1" t="s">
        <v>1327</v>
      </c>
      <c r="F309" s="1" t="s">
        <v>8969</v>
      </c>
      <c r="G309" s="1"/>
      <c r="J309" s="1" t="s">
        <v>9795</v>
      </c>
      <c r="K309" s="2" t="s">
        <v>7570</v>
      </c>
      <c r="L309" s="4" t="s">
        <v>8251</v>
      </c>
      <c r="P309" s="7" t="s">
        <v>1241</v>
      </c>
      <c r="Q309" s="14" t="str">
        <f>INDEX($L:$L, MATCH("individual", $B:$B, 0))</f>
        <v>&lt;span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v>
      </c>
      <c r="R309" s="13" t="str">
        <f>INDEX($L:$L, MATCH("device", $B:$B, 0))</f>
        <v>&lt;span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v>
      </c>
      <c r="AU309" s="15"/>
      <c r="AV309" s="1" t="s">
        <v>1502</v>
      </c>
      <c r="BG309" s="7" t="s">
        <v>1503</v>
      </c>
      <c r="BH309" s="1" t="s">
        <v>2780</v>
      </c>
      <c r="BI309" s="2" t="s">
        <v>2927</v>
      </c>
      <c r="BJ309" s="1" t="s">
        <v>2044</v>
      </c>
      <c r="BK309" s="2" t="s">
        <v>2928</v>
      </c>
      <c r="BL309" s="1" t="s">
        <v>1865</v>
      </c>
      <c r="BM309" s="2" t="s">
        <v>2929</v>
      </c>
    </row>
    <row r="310" spans="1:69" ht="126" x14ac:dyDescent="0.45">
      <c r="A310" s="5">
        <v>309</v>
      </c>
      <c r="B310" s="8" t="s">
        <v>216</v>
      </c>
      <c r="C310" s="6" t="s">
        <v>1816</v>
      </c>
      <c r="D310" s="7" t="s">
        <v>9794</v>
      </c>
      <c r="E310" s="1" t="s">
        <v>1447</v>
      </c>
      <c r="F310" s="1" t="s">
        <v>1456</v>
      </c>
      <c r="G310" s="1"/>
      <c r="J310" s="1" t="s">
        <v>9795</v>
      </c>
      <c r="K310" s="2" t="s">
        <v>7571</v>
      </c>
      <c r="L310" s="9" t="s">
        <v>8252</v>
      </c>
      <c r="M310" s="1" t="s">
        <v>12247</v>
      </c>
      <c r="P310" s="7" t="s">
        <v>1241</v>
      </c>
      <c r="Q310" s="14"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R310" s="13"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S310" s="15"/>
      <c r="T310" s="15"/>
      <c r="U310" s="15"/>
      <c r="V310" s="15"/>
      <c r="W310" s="15"/>
      <c r="X310" s="15"/>
      <c r="Y310" s="15"/>
      <c r="Z310" s="15"/>
      <c r="AU310" s="15"/>
      <c r="AV310" s="1" t="s">
        <v>1502</v>
      </c>
      <c r="BG310" s="7" t="s">
        <v>1503</v>
      </c>
      <c r="BH310" s="1" t="s">
        <v>2044</v>
      </c>
      <c r="BI310" s="2" t="s">
        <v>2930</v>
      </c>
    </row>
    <row r="311" spans="1:69" ht="360" x14ac:dyDescent="0.45">
      <c r="A311" s="5">
        <v>310</v>
      </c>
      <c r="B311" s="8" t="s">
        <v>1481</v>
      </c>
      <c r="C311" s="6" t="s">
        <v>1816</v>
      </c>
      <c r="D311" s="7" t="s">
        <v>9794</v>
      </c>
      <c r="E311" s="1" t="s">
        <v>8970</v>
      </c>
      <c r="F311" s="1" t="s">
        <v>1596</v>
      </c>
      <c r="G311" s="1"/>
      <c r="J311" s="1" t="s">
        <v>9795</v>
      </c>
      <c r="K311" s="2" t="s">
        <v>7572</v>
      </c>
      <c r="L311" s="4" t="s">
        <v>8253</v>
      </c>
      <c r="M311" s="1" t="s">
        <v>12229</v>
      </c>
      <c r="P311" s="7" t="s">
        <v>1241</v>
      </c>
      <c r="Q311" s="14"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311" s="14"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S311" s="14"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T311" s="1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311" s="14"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V311" s="14"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W311" s="13" t="str">
        <f>INDEX($L:$L, MATCH("justice", $B:$B, 0))</f>
        <v>&lt;span class="w"&gt;&lt;b&gt;【769.justice：公正, 正義, 司法】&lt;/b&gt;&lt;/span&gt;
&lt;span class="ml"&gt;ラテン語ius（法）に由来する。
&lt;span class="spacer"&gt;&lt;/span&gt;この語の核は「法」。法を司る「司法」や、法や道徳に基づく「正義」や「公正」という意味になる。&lt;/span&gt;</v>
      </c>
      <c r="X311" s="13" t="str">
        <f>INDEX($L:$L, MATCH("jury", $B:$B, 0))</f>
        <v>&lt;span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v>
      </c>
      <c r="AU311" s="15"/>
      <c r="AV311" s="1" t="s">
        <v>1502</v>
      </c>
      <c r="BG311" s="7" t="s">
        <v>1503</v>
      </c>
      <c r="BH311" s="1" t="s">
        <v>2780</v>
      </c>
      <c r="BI311" s="2" t="s">
        <v>2931</v>
      </c>
      <c r="BJ311" s="1" t="s">
        <v>2031</v>
      </c>
      <c r="BK311" s="2" t="s">
        <v>2932</v>
      </c>
      <c r="BL311" s="1" t="s">
        <v>2754</v>
      </c>
      <c r="BM311" s="1" t="s">
        <v>2933</v>
      </c>
      <c r="BN311" s="1" t="s">
        <v>2044</v>
      </c>
      <c r="BO311" s="2" t="s">
        <v>2934</v>
      </c>
    </row>
    <row r="312" spans="1:69" ht="234" x14ac:dyDescent="0.45">
      <c r="A312" s="5">
        <v>311</v>
      </c>
      <c r="B312" s="8" t="s">
        <v>217</v>
      </c>
      <c r="C312" s="6" t="s">
        <v>1816</v>
      </c>
      <c r="D312" s="7" t="s">
        <v>9794</v>
      </c>
      <c r="E312" s="1" t="s">
        <v>1251</v>
      </c>
      <c r="F312" s="1" t="s">
        <v>1457</v>
      </c>
      <c r="G312" s="1"/>
      <c r="J312" s="1" t="s">
        <v>9795</v>
      </c>
      <c r="K312" s="2" t="s">
        <v>7573</v>
      </c>
      <c r="L312" s="3" t="s">
        <v>8254</v>
      </c>
      <c r="P312" s="7" t="s">
        <v>1241</v>
      </c>
      <c r="Q312" s="14"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R312" s="14"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S312" s="14"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T312" s="13"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AU312" s="15"/>
      <c r="AV312" s="1" t="s">
        <v>1502</v>
      </c>
      <c r="BG312" s="7" t="s">
        <v>1503</v>
      </c>
      <c r="BH312" s="1" t="s">
        <v>2780</v>
      </c>
      <c r="BI312" s="2" t="s">
        <v>2935</v>
      </c>
      <c r="BJ312" s="1" t="s">
        <v>2031</v>
      </c>
      <c r="BK312" s="2" t="s">
        <v>2936</v>
      </c>
      <c r="BL312" s="1" t="s">
        <v>2044</v>
      </c>
      <c r="BM312" s="2" t="s">
        <v>2937</v>
      </c>
      <c r="BN312" s="1" t="s">
        <v>1865</v>
      </c>
      <c r="BO312" s="2" t="s">
        <v>2938</v>
      </c>
    </row>
    <row r="313" spans="1:69" ht="108" x14ac:dyDescent="0.45">
      <c r="A313" s="5">
        <v>312</v>
      </c>
      <c r="B313" s="8" t="s">
        <v>218</v>
      </c>
      <c r="C313" s="6" t="s">
        <v>1816</v>
      </c>
      <c r="D313" s="7" t="s">
        <v>9794</v>
      </c>
      <c r="E313" s="1" t="s">
        <v>1447</v>
      </c>
      <c r="F313" s="1" t="s">
        <v>1458</v>
      </c>
      <c r="G313" s="1"/>
      <c r="J313" s="1" t="s">
        <v>9795</v>
      </c>
      <c r="K313" s="2" t="s">
        <v>7574</v>
      </c>
      <c r="L313" s="2" t="s">
        <v>10076</v>
      </c>
      <c r="P313" s="7" t="s">
        <v>1241</v>
      </c>
      <c r="AU313" s="15"/>
      <c r="AV313" s="1" t="s">
        <v>1502</v>
      </c>
      <c r="BG313" s="7" t="s">
        <v>1503</v>
      </c>
      <c r="BH313" s="1" t="s">
        <v>2031</v>
      </c>
      <c r="BI313" s="2" t="s">
        <v>2939</v>
      </c>
      <c r="BJ313" s="1" t="s">
        <v>2044</v>
      </c>
      <c r="BK313" s="2" t="s">
        <v>2940</v>
      </c>
      <c r="BL313" s="1" t="s">
        <v>1865</v>
      </c>
      <c r="BM313" s="2" t="s">
        <v>2941</v>
      </c>
    </row>
    <row r="314" spans="1:69" ht="144" x14ac:dyDescent="0.45">
      <c r="A314" s="5">
        <v>313</v>
      </c>
      <c r="B314" s="8" t="s">
        <v>219</v>
      </c>
      <c r="C314" s="6" t="s">
        <v>1816</v>
      </c>
      <c r="D314" s="7" t="s">
        <v>9794</v>
      </c>
      <c r="E314" s="1" t="s">
        <v>219</v>
      </c>
      <c r="F314" s="1"/>
      <c r="G314" s="1"/>
      <c r="J314" s="1" t="s">
        <v>9795</v>
      </c>
      <c r="K314" s="2" t="s">
        <v>7575</v>
      </c>
      <c r="L314" s="9" t="s">
        <v>8255</v>
      </c>
      <c r="P314" s="7" t="s">
        <v>1241</v>
      </c>
      <c r="AU314" s="15"/>
      <c r="AV314" s="1" t="s">
        <v>1502</v>
      </c>
      <c r="BG314" s="7" t="s">
        <v>1503</v>
      </c>
      <c r="BH314" s="1" t="s">
        <v>2648</v>
      </c>
      <c r="BI314" s="2" t="s">
        <v>2942</v>
      </c>
      <c r="BJ314" s="1" t="s">
        <v>2044</v>
      </c>
      <c r="BK314" s="2" t="s">
        <v>2943</v>
      </c>
    </row>
    <row r="315" spans="1:69" ht="126" x14ac:dyDescent="0.45">
      <c r="A315" s="5">
        <v>314</v>
      </c>
      <c r="B315" s="8" t="s">
        <v>220</v>
      </c>
      <c r="C315" s="6" t="s">
        <v>1816</v>
      </c>
      <c r="D315" s="7" t="s">
        <v>9794</v>
      </c>
      <c r="E315" s="1" t="s">
        <v>1459</v>
      </c>
      <c r="F315" s="1" t="s">
        <v>1460</v>
      </c>
      <c r="G315" s="1"/>
      <c r="J315" s="1" t="s">
        <v>9795</v>
      </c>
      <c r="K315" s="2" t="s">
        <v>7576</v>
      </c>
      <c r="L315" s="2" t="s">
        <v>8256</v>
      </c>
      <c r="P315" s="7" t="s">
        <v>1241</v>
      </c>
      <c r="Q315" s="13" t="str">
        <f>INDEX($L:$L, MATCH("option", $B:$B, 0))</f>
        <v>&lt;span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v>
      </c>
      <c r="AU315" s="15"/>
      <c r="AV315" s="1" t="s">
        <v>1502</v>
      </c>
      <c r="BG315" s="7" t="s">
        <v>1503</v>
      </c>
      <c r="BH315" s="1" t="s">
        <v>2780</v>
      </c>
      <c r="BI315" s="2" t="s">
        <v>2944</v>
      </c>
      <c r="BJ315" s="1" t="s">
        <v>2031</v>
      </c>
      <c r="BK315" s="2" t="s">
        <v>2945</v>
      </c>
      <c r="BL315" s="1" t="s">
        <v>1865</v>
      </c>
      <c r="BM315" s="2" t="s">
        <v>2946</v>
      </c>
    </row>
    <row r="316" spans="1:69" ht="144" x14ac:dyDescent="0.45">
      <c r="A316" s="5">
        <v>315</v>
      </c>
      <c r="B316" s="8" t="s">
        <v>1482</v>
      </c>
      <c r="C316" s="6" t="s">
        <v>1816</v>
      </c>
      <c r="D316" s="7" t="s">
        <v>9794</v>
      </c>
      <c r="E316" s="1" t="s">
        <v>1346</v>
      </c>
      <c r="F316" s="1" t="s">
        <v>1252</v>
      </c>
      <c r="G316" s="1"/>
      <c r="J316" s="1" t="s">
        <v>9795</v>
      </c>
      <c r="K316" s="2" t="s">
        <v>7577</v>
      </c>
      <c r="L316" s="3" t="s">
        <v>8257</v>
      </c>
      <c r="M316" s="1" t="s">
        <v>12170</v>
      </c>
      <c r="P316" s="7" t="s">
        <v>1241</v>
      </c>
      <c r="Q316" s="13"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316" s="13"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v>
      </c>
      <c r="S316" s="13"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T316" s="13"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AU316" s="15"/>
      <c r="AV316" s="1" t="s">
        <v>1502</v>
      </c>
      <c r="BG316" s="7" t="s">
        <v>1503</v>
      </c>
      <c r="BH316" s="1" t="s">
        <v>2780</v>
      </c>
      <c r="BI316" s="2" t="s">
        <v>2947</v>
      </c>
      <c r="BJ316" s="1" t="s">
        <v>2048</v>
      </c>
      <c r="BK316" s="2" t="s">
        <v>2948</v>
      </c>
      <c r="BL316" s="1" t="s">
        <v>2031</v>
      </c>
      <c r="BM316" s="2" t="s">
        <v>2949</v>
      </c>
      <c r="BN316" s="1" t="s">
        <v>2044</v>
      </c>
      <c r="BO316" s="2" t="s">
        <v>2950</v>
      </c>
      <c r="BP316" s="1" t="s">
        <v>1865</v>
      </c>
      <c r="BQ316" s="2" t="s">
        <v>2951</v>
      </c>
    </row>
    <row r="317" spans="1:69" ht="126" x14ac:dyDescent="0.45">
      <c r="A317" s="5">
        <v>316</v>
      </c>
      <c r="B317" s="8" t="s">
        <v>221</v>
      </c>
      <c r="C317" s="6" t="s">
        <v>1816</v>
      </c>
      <c r="D317" s="7" t="s">
        <v>9794</v>
      </c>
      <c r="E317" s="1" t="s">
        <v>1413</v>
      </c>
      <c r="F317" s="1" t="s">
        <v>1461</v>
      </c>
      <c r="G317" s="1"/>
      <c r="J317" s="1" t="s">
        <v>9795</v>
      </c>
      <c r="K317" s="2" t="s">
        <v>7578</v>
      </c>
      <c r="L317" s="3" t="s">
        <v>8258</v>
      </c>
      <c r="P317" s="7" t="s">
        <v>1241</v>
      </c>
      <c r="AU317" s="15"/>
      <c r="AV317" s="1" t="s">
        <v>1502</v>
      </c>
      <c r="BG317" s="7" t="s">
        <v>1503</v>
      </c>
      <c r="BH317" s="1" t="s">
        <v>2780</v>
      </c>
      <c r="BI317" s="2" t="s">
        <v>2952</v>
      </c>
      <c r="BJ317" s="1" t="s">
        <v>2031</v>
      </c>
      <c r="BK317" s="2" t="s">
        <v>2953</v>
      </c>
      <c r="BL317" s="1" t="s">
        <v>2754</v>
      </c>
      <c r="BM317" s="1" t="s">
        <v>2954</v>
      </c>
      <c r="BN317" s="1" t="s">
        <v>2044</v>
      </c>
      <c r="BO317" s="2" t="s">
        <v>2955</v>
      </c>
    </row>
    <row r="318" spans="1:69" ht="162" x14ac:dyDescent="0.45">
      <c r="A318" s="5">
        <v>317</v>
      </c>
      <c r="B318" s="8" t="s">
        <v>222</v>
      </c>
      <c r="C318" s="6" t="s">
        <v>1816</v>
      </c>
      <c r="D318" s="7" t="s">
        <v>9794</v>
      </c>
      <c r="E318" s="1" t="s">
        <v>1251</v>
      </c>
      <c r="F318" s="1" t="s">
        <v>1462</v>
      </c>
      <c r="G318" s="1"/>
      <c r="J318" s="1" t="s">
        <v>9795</v>
      </c>
      <c r="K318" s="2" t="s">
        <v>7579</v>
      </c>
      <c r="L318" s="3" t="s">
        <v>8259</v>
      </c>
      <c r="P318" s="7" t="s">
        <v>1241</v>
      </c>
      <c r="Q318" s="22" t="str">
        <f>INDEX($L:$L, MATCH("confuse", $B:$B, 0))</f>
        <v>&lt;span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v>
      </c>
      <c r="R318" s="15"/>
      <c r="S318" s="15"/>
      <c r="T318" s="15"/>
      <c r="U318" s="15"/>
      <c r="V318" s="15"/>
      <c r="AU318" s="15"/>
      <c r="AV318" s="1" t="s">
        <v>1502</v>
      </c>
      <c r="BG318" s="7" t="s">
        <v>1503</v>
      </c>
      <c r="BH318" s="1" t="s">
        <v>2780</v>
      </c>
      <c r="BI318" s="2" t="s">
        <v>7580</v>
      </c>
      <c r="BJ318" s="1" t="s">
        <v>2048</v>
      </c>
      <c r="BK318" s="2" t="s">
        <v>2956</v>
      </c>
      <c r="BL318" s="1" t="s">
        <v>2031</v>
      </c>
      <c r="BM318" s="2" t="s">
        <v>2957</v>
      </c>
      <c r="BN318" s="1" t="s">
        <v>2044</v>
      </c>
      <c r="BO318" s="2" t="s">
        <v>2958</v>
      </c>
    </row>
    <row r="319" spans="1:69" ht="90" x14ac:dyDescent="0.45">
      <c r="A319" s="5">
        <v>318</v>
      </c>
      <c r="B319" s="8" t="s">
        <v>223</v>
      </c>
      <c r="C319" s="6" t="s">
        <v>1816</v>
      </c>
      <c r="D319" s="7" t="s">
        <v>9794</v>
      </c>
      <c r="E319" s="6" t="s">
        <v>223</v>
      </c>
      <c r="F319" s="1"/>
      <c r="G319" s="1"/>
      <c r="J319" s="1" t="s">
        <v>9795</v>
      </c>
      <c r="K319" s="2" t="s">
        <v>7581</v>
      </c>
      <c r="L319" s="9" t="s">
        <v>8260</v>
      </c>
      <c r="P319" s="7" t="s">
        <v>1241</v>
      </c>
      <c r="Q319" s="13" t="str">
        <f>INDEX($L:$L, MATCH("stroke", $B:$B, 0))</f>
        <v>&lt;span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v>
      </c>
      <c r="AU319" s="15"/>
      <c r="AV319" s="1" t="s">
        <v>1502</v>
      </c>
      <c r="BG319" s="7" t="s">
        <v>1503</v>
      </c>
      <c r="BH319" s="1" t="s">
        <v>2648</v>
      </c>
      <c r="BI319" s="2" t="s">
        <v>7582</v>
      </c>
      <c r="BJ319" s="1" t="s">
        <v>2044</v>
      </c>
      <c r="BK319" s="2" t="s">
        <v>2959</v>
      </c>
      <c r="BL319" s="1" t="s">
        <v>1865</v>
      </c>
      <c r="BM319" s="2" t="s">
        <v>2960</v>
      </c>
    </row>
    <row r="320" spans="1:69" ht="198" x14ac:dyDescent="0.45">
      <c r="A320" s="5">
        <v>319</v>
      </c>
      <c r="B320" s="8" t="s">
        <v>224</v>
      </c>
      <c r="C320" s="6" t="s">
        <v>1816</v>
      </c>
      <c r="D320" s="7" t="s">
        <v>9794</v>
      </c>
      <c r="E320" s="6" t="s">
        <v>1251</v>
      </c>
      <c r="F320" s="6" t="s">
        <v>1463</v>
      </c>
      <c r="G320" s="1"/>
      <c r="J320" s="1" t="s">
        <v>9795</v>
      </c>
      <c r="K320" s="2" t="s">
        <v>7583</v>
      </c>
      <c r="L320" s="4" t="s">
        <v>8261</v>
      </c>
      <c r="P320" s="7" t="s">
        <v>1241</v>
      </c>
      <c r="Q320" s="14"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R320" s="14"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S320" s="13"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AU320" s="15"/>
      <c r="AV320" s="1" t="s">
        <v>1502</v>
      </c>
      <c r="BG320" s="7" t="s">
        <v>1503</v>
      </c>
      <c r="BH320" s="1" t="s">
        <v>2780</v>
      </c>
      <c r="BI320" s="2" t="s">
        <v>2961</v>
      </c>
      <c r="BJ320" s="1" t="s">
        <v>2031</v>
      </c>
      <c r="BK320" s="2" t="s">
        <v>2962</v>
      </c>
      <c r="BL320" s="1" t="s">
        <v>2044</v>
      </c>
      <c r="BM320" s="2" t="s">
        <v>2963</v>
      </c>
      <c r="BN320" s="1" t="s">
        <v>1865</v>
      </c>
      <c r="BO320" s="2" t="s">
        <v>2964</v>
      </c>
    </row>
    <row r="321" spans="1:71" ht="234" x14ac:dyDescent="0.45">
      <c r="A321" s="5">
        <v>320</v>
      </c>
      <c r="B321" s="8" t="s">
        <v>1483</v>
      </c>
      <c r="C321" s="6" t="s">
        <v>1816</v>
      </c>
      <c r="D321" s="7" t="s">
        <v>9794</v>
      </c>
      <c r="E321" s="1" t="s">
        <v>46</v>
      </c>
      <c r="F321" s="1" t="s">
        <v>8971</v>
      </c>
      <c r="G321" s="1" t="s">
        <v>5124</v>
      </c>
      <c r="J321" s="1" t="s">
        <v>9795</v>
      </c>
      <c r="K321" s="2" t="s">
        <v>7584</v>
      </c>
      <c r="L321" s="3" t="s">
        <v>9741</v>
      </c>
      <c r="M321" s="1" t="s">
        <v>12234</v>
      </c>
      <c r="P321" s="7" t="s">
        <v>1241</v>
      </c>
      <c r="Q321" s="14" t="str">
        <f>INDEX($L:$L, MATCH("assume", $B:$B, 0))</f>
        <v>&lt;span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v>
      </c>
      <c r="R321" s="13" t="str">
        <f>INDEX($L:$L, MATCH("prompt", $B:$B, 0))</f>
        <v>&lt;span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v>
      </c>
      <c r="AU321" s="15"/>
      <c r="AV321" s="1" t="s">
        <v>1502</v>
      </c>
      <c r="BG321" s="7" t="s">
        <v>1503</v>
      </c>
      <c r="BH321" s="1" t="s">
        <v>2780</v>
      </c>
      <c r="BI321" s="2" t="s">
        <v>7585</v>
      </c>
      <c r="BJ321" s="1" t="s">
        <v>2031</v>
      </c>
      <c r="BK321" s="2" t="s">
        <v>2965</v>
      </c>
      <c r="BL321" s="1" t="s">
        <v>2044</v>
      </c>
      <c r="BM321" s="2" t="s">
        <v>2966</v>
      </c>
    </row>
    <row r="322" spans="1:71" ht="144" x14ac:dyDescent="0.45">
      <c r="A322" s="5">
        <v>321</v>
      </c>
      <c r="B322" s="8" t="s">
        <v>1484</v>
      </c>
      <c r="C322" s="6" t="s">
        <v>1816</v>
      </c>
      <c r="D322" s="7" t="s">
        <v>9794</v>
      </c>
      <c r="E322" s="1" t="s">
        <v>46</v>
      </c>
      <c r="F322" s="1" t="s">
        <v>1462</v>
      </c>
      <c r="G322" s="1"/>
      <c r="J322" s="1" t="s">
        <v>9795</v>
      </c>
      <c r="K322" s="2" t="s">
        <v>7702</v>
      </c>
      <c r="L322" s="3" t="s">
        <v>8262</v>
      </c>
      <c r="P322" s="7" t="s">
        <v>1241</v>
      </c>
      <c r="Q322" s="22" t="str">
        <f>INDEX($L:$L, MATCH("refuse", $B:$B, 0))</f>
        <v>&lt;span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v>
      </c>
      <c r="R322" s="15"/>
      <c r="S322" s="15"/>
      <c r="T322" s="15"/>
      <c r="U322" s="15"/>
      <c r="V322" s="15"/>
      <c r="AU322" s="15"/>
      <c r="AV322" s="1" t="s">
        <v>1502</v>
      </c>
      <c r="BG322" s="7" t="s">
        <v>1503</v>
      </c>
      <c r="BH322" s="1" t="s">
        <v>2780</v>
      </c>
      <c r="BI322" s="2" t="s">
        <v>2967</v>
      </c>
      <c r="BJ322" s="1" t="s">
        <v>2031</v>
      </c>
      <c r="BK322" s="2" t="s">
        <v>2968</v>
      </c>
      <c r="BL322" s="1" t="s">
        <v>2044</v>
      </c>
      <c r="BM322" s="2" t="s">
        <v>2969</v>
      </c>
      <c r="BN322" s="1" t="s">
        <v>1865</v>
      </c>
      <c r="BO322" s="2" t="s">
        <v>2970</v>
      </c>
    </row>
    <row r="323" spans="1:71" ht="270" x14ac:dyDescent="0.45">
      <c r="A323" s="5">
        <v>322</v>
      </c>
      <c r="B323" s="8" t="s">
        <v>1485</v>
      </c>
      <c r="C323" s="6" t="s">
        <v>1816</v>
      </c>
      <c r="D323" s="7" t="s">
        <v>9794</v>
      </c>
      <c r="E323" s="1" t="s">
        <v>1833</v>
      </c>
      <c r="F323" s="1" t="s">
        <v>1668</v>
      </c>
      <c r="G323" s="1"/>
      <c r="J323" s="1" t="s">
        <v>9795</v>
      </c>
      <c r="K323" s="2" t="s">
        <v>7586</v>
      </c>
      <c r="L323" s="4" t="s">
        <v>8263</v>
      </c>
      <c r="M323" s="1" t="s">
        <v>12248</v>
      </c>
      <c r="P323" s="7" t="s">
        <v>1241</v>
      </c>
      <c r="Q323" s="14"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R323" s="1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S323" s="14"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T323" s="14"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U323" s="14"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323" s="14"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AU323" s="15"/>
      <c r="AV323" s="1" t="s">
        <v>1502</v>
      </c>
      <c r="BG323" s="7" t="s">
        <v>1503</v>
      </c>
      <c r="BH323" s="1" t="s">
        <v>2780</v>
      </c>
      <c r="BI323" s="2" t="s">
        <v>2971</v>
      </c>
      <c r="BJ323" s="1" t="s">
        <v>1865</v>
      </c>
      <c r="BK323" s="2" t="s">
        <v>2972</v>
      </c>
    </row>
    <row r="324" spans="1:71" ht="162" x14ac:dyDescent="0.45">
      <c r="A324" s="5">
        <v>323</v>
      </c>
      <c r="B324" s="8" t="s">
        <v>1486</v>
      </c>
      <c r="C324" s="6" t="s">
        <v>1816</v>
      </c>
      <c r="D324" s="7" t="s">
        <v>9794</v>
      </c>
      <c r="E324" s="1" t="s">
        <v>1454</v>
      </c>
      <c r="F324" s="1" t="s">
        <v>8889</v>
      </c>
      <c r="G324" s="1"/>
      <c r="J324" s="1" t="s">
        <v>9795</v>
      </c>
      <c r="K324" s="2" t="s">
        <v>7587</v>
      </c>
      <c r="L324" s="3" t="s">
        <v>8264</v>
      </c>
      <c r="M324" s="1" t="s">
        <v>12174</v>
      </c>
      <c r="P324" s="7" t="s">
        <v>1241</v>
      </c>
      <c r="Q324" s="14"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324" s="13"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AU324" s="15"/>
      <c r="AV324" s="1" t="s">
        <v>1502</v>
      </c>
      <c r="BG324" s="7" t="s">
        <v>1503</v>
      </c>
      <c r="BH324" s="1" t="s">
        <v>2780</v>
      </c>
      <c r="BI324" s="2" t="s">
        <v>7588</v>
      </c>
      <c r="BJ324" s="1" t="s">
        <v>1865</v>
      </c>
      <c r="BK324" s="2" t="s">
        <v>2973</v>
      </c>
    </row>
    <row r="325" spans="1:71" ht="288" x14ac:dyDescent="0.45">
      <c r="A325" s="5">
        <v>324</v>
      </c>
      <c r="B325" s="8" t="s">
        <v>225</v>
      </c>
      <c r="C325" s="6" t="s">
        <v>1816</v>
      </c>
      <c r="D325" s="7" t="s">
        <v>9794</v>
      </c>
      <c r="E325" s="1" t="s">
        <v>46</v>
      </c>
      <c r="F325" s="1" t="s">
        <v>1464</v>
      </c>
      <c r="G325" s="1"/>
      <c r="J325" s="1" t="s">
        <v>9795</v>
      </c>
      <c r="K325" s="2" t="s">
        <v>7589</v>
      </c>
      <c r="L325" s="3" t="s">
        <v>8265</v>
      </c>
      <c r="P325" s="7" t="s">
        <v>1241</v>
      </c>
      <c r="Q325" s="14" t="str">
        <f>INDEX($L:$L, MATCH("province", $B:$B, 0))</f>
        <v>&lt;span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v>
      </c>
      <c r="R325" s="15"/>
      <c r="AU325" s="15"/>
      <c r="AV325" s="1" t="s">
        <v>1502</v>
      </c>
      <c r="BG325" s="7" t="s">
        <v>1503</v>
      </c>
      <c r="BH325" s="1" t="s">
        <v>2780</v>
      </c>
      <c r="BI325" s="2" t="s">
        <v>2974</v>
      </c>
      <c r="BJ325" s="1" t="s">
        <v>1865</v>
      </c>
      <c r="BK325" s="2" t="s">
        <v>2975</v>
      </c>
    </row>
    <row r="326" spans="1:71" ht="108" x14ac:dyDescent="0.45">
      <c r="A326" s="5">
        <v>325</v>
      </c>
      <c r="B326" s="8" t="s">
        <v>226</v>
      </c>
      <c r="C326" s="6" t="s">
        <v>1816</v>
      </c>
      <c r="D326" s="7" t="s">
        <v>9794</v>
      </c>
      <c r="E326" s="1" t="s">
        <v>1251</v>
      </c>
      <c r="F326" s="1" t="s">
        <v>1465</v>
      </c>
      <c r="G326" s="1"/>
      <c r="J326" s="1" t="s">
        <v>9795</v>
      </c>
      <c r="K326" s="2" t="s">
        <v>7590</v>
      </c>
      <c r="L326" s="9" t="s">
        <v>8266</v>
      </c>
      <c r="P326" s="7" t="s">
        <v>1241</v>
      </c>
      <c r="AU326" s="15"/>
      <c r="AV326" s="1" t="s">
        <v>1502</v>
      </c>
      <c r="BG326" s="7" t="s">
        <v>1503</v>
      </c>
      <c r="BH326" s="1" t="s">
        <v>1865</v>
      </c>
      <c r="BI326" s="2" t="s">
        <v>2976</v>
      </c>
    </row>
    <row r="327" spans="1:71" ht="180" x14ac:dyDescent="0.45">
      <c r="A327" s="5">
        <v>326</v>
      </c>
      <c r="B327" s="8" t="s">
        <v>1487</v>
      </c>
      <c r="C327" s="6" t="s">
        <v>1816</v>
      </c>
      <c r="D327" s="7" t="s">
        <v>9794</v>
      </c>
      <c r="E327" s="1" t="s">
        <v>1327</v>
      </c>
      <c r="F327" s="1" t="s">
        <v>8972</v>
      </c>
      <c r="G327" s="1"/>
      <c r="J327" s="1" t="s">
        <v>9795</v>
      </c>
      <c r="K327" s="2" t="s">
        <v>7591</v>
      </c>
      <c r="L327" s="4" t="s">
        <v>8267</v>
      </c>
      <c r="M327" s="1" t="s">
        <v>12216</v>
      </c>
      <c r="P327" s="7" t="s">
        <v>1241</v>
      </c>
      <c r="Q327" s="14"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327"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S327" s="1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T327" s="14"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327" s="13"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V327"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AU327" s="15"/>
      <c r="AV327" s="1" t="s">
        <v>1502</v>
      </c>
      <c r="BG327" s="7" t="s">
        <v>1503</v>
      </c>
      <c r="BH327" s="1" t="s">
        <v>2780</v>
      </c>
      <c r="BI327" s="2" t="s">
        <v>2977</v>
      </c>
      <c r="BJ327" s="1" t="s">
        <v>2048</v>
      </c>
      <c r="BK327" s="2" t="s">
        <v>2978</v>
      </c>
      <c r="BL327" s="1" t="s">
        <v>2031</v>
      </c>
      <c r="BM327" s="2" t="s">
        <v>2979</v>
      </c>
      <c r="BN327" s="1" t="s">
        <v>2044</v>
      </c>
      <c r="BO327" s="2" t="s">
        <v>2980</v>
      </c>
    </row>
    <row r="328" spans="1:71" ht="180" x14ac:dyDescent="0.45">
      <c r="A328" s="5">
        <v>327</v>
      </c>
      <c r="B328" s="8" t="s">
        <v>1488</v>
      </c>
      <c r="C328" s="6" t="s">
        <v>1816</v>
      </c>
      <c r="D328" s="7" t="s">
        <v>9794</v>
      </c>
      <c r="E328" s="1" t="s">
        <v>1338</v>
      </c>
      <c r="F328" s="1" t="s">
        <v>1398</v>
      </c>
      <c r="G328" s="1"/>
      <c r="J328" s="1" t="s">
        <v>9795</v>
      </c>
      <c r="K328" s="2" t="s">
        <v>7592</v>
      </c>
      <c r="L328" s="3" t="s">
        <v>8268</v>
      </c>
      <c r="M328" s="1" t="s">
        <v>12230</v>
      </c>
      <c r="P328" s="7" t="s">
        <v>1241</v>
      </c>
      <c r="Q328" s="14" t="str">
        <f>INDEX($L:$L, MATCH("observe", $B:$B, 0))</f>
        <v>&lt;span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v>
      </c>
      <c r="R328" s="14"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S328" s="13"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AU328" s="15"/>
      <c r="AV328" s="1" t="s">
        <v>1502</v>
      </c>
      <c r="BG328" s="7" t="s">
        <v>1503</v>
      </c>
      <c r="BH328" s="1" t="s">
        <v>2780</v>
      </c>
      <c r="BI328" s="2" t="s">
        <v>2981</v>
      </c>
      <c r="BJ328" s="1" t="s">
        <v>1980</v>
      </c>
      <c r="BK328" s="1" t="s">
        <v>2982</v>
      </c>
      <c r="BL328" s="1" t="s">
        <v>2031</v>
      </c>
      <c r="BM328" s="2" t="s">
        <v>2983</v>
      </c>
      <c r="BN328" s="1" t="s">
        <v>2321</v>
      </c>
      <c r="BO328" s="1" t="s">
        <v>2984</v>
      </c>
      <c r="BP328" s="1" t="s">
        <v>2044</v>
      </c>
      <c r="BQ328" s="2" t="s">
        <v>2985</v>
      </c>
      <c r="BR328" s="1" t="s">
        <v>1865</v>
      </c>
      <c r="BS328" s="2" t="s">
        <v>2986</v>
      </c>
    </row>
    <row r="329" spans="1:71" ht="180" x14ac:dyDescent="0.45">
      <c r="A329" s="5">
        <v>328</v>
      </c>
      <c r="B329" s="8" t="s">
        <v>1489</v>
      </c>
      <c r="C329" s="6" t="s">
        <v>1816</v>
      </c>
      <c r="D329" s="7" t="s">
        <v>9794</v>
      </c>
      <c r="E329" s="1" t="s">
        <v>314</v>
      </c>
      <c r="F329" s="1" t="s">
        <v>1519</v>
      </c>
      <c r="G329" s="1"/>
      <c r="J329" s="1" t="s">
        <v>9795</v>
      </c>
      <c r="K329" s="2" t="s">
        <v>7593</v>
      </c>
      <c r="L329" s="2" t="s">
        <v>8269</v>
      </c>
      <c r="P329" s="7" t="s">
        <v>1241</v>
      </c>
      <c r="Q329" s="14" t="str">
        <f>INDEX($L:$L, MATCH("organ", $B:$B, 0))</f>
        <v>&lt;span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v>
      </c>
      <c r="R329" s="15"/>
      <c r="S329" s="15"/>
      <c r="T329" s="15"/>
      <c r="U329" s="15"/>
      <c r="AU329" s="15"/>
      <c r="AV329" s="1" t="s">
        <v>1502</v>
      </c>
      <c r="BG329" s="7" t="s">
        <v>1503</v>
      </c>
      <c r="BH329" s="1" t="s">
        <v>2423</v>
      </c>
      <c r="BI329" s="2" t="s">
        <v>2987</v>
      </c>
      <c r="BJ329" s="1" t="s">
        <v>2780</v>
      </c>
      <c r="BK329" s="2" t="s">
        <v>2988</v>
      </c>
      <c r="BL329" s="1" t="s">
        <v>1980</v>
      </c>
      <c r="BM329" s="2" t="s">
        <v>2989</v>
      </c>
      <c r="BN329" s="1" t="s">
        <v>2031</v>
      </c>
      <c r="BO329" s="2" t="s">
        <v>2990</v>
      </c>
      <c r="BP329" s="1" t="s">
        <v>2044</v>
      </c>
      <c r="BQ329" s="2" t="s">
        <v>2991</v>
      </c>
      <c r="BR329" s="1" t="s">
        <v>1865</v>
      </c>
      <c r="BS329" s="2" t="s">
        <v>7594</v>
      </c>
    </row>
    <row r="330" spans="1:71" ht="108" x14ac:dyDescent="0.45">
      <c r="A330" s="5">
        <v>329</v>
      </c>
      <c r="B330" s="8" t="s">
        <v>227</v>
      </c>
      <c r="C330" s="6" t="s">
        <v>1816</v>
      </c>
      <c r="D330" s="7" t="s">
        <v>9794</v>
      </c>
      <c r="E330" s="6" t="s">
        <v>227</v>
      </c>
      <c r="F330" s="1"/>
      <c r="G330" s="1"/>
      <c r="J330" s="1" t="s">
        <v>9795</v>
      </c>
      <c r="K330" s="2"/>
      <c r="L330" s="9" t="s">
        <v>8705</v>
      </c>
      <c r="P330" s="7" t="s">
        <v>1241</v>
      </c>
      <c r="Q330" s="13"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330" s="13"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S330" s="13"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T330" s="13"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U330" s="13"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V330"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W330"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AV330" s="1" t="s">
        <v>1502</v>
      </c>
      <c r="BG330" s="7" t="s">
        <v>1503</v>
      </c>
      <c r="BH330" s="1" t="s">
        <v>2569</v>
      </c>
      <c r="BI330" s="1" t="s">
        <v>2992</v>
      </c>
      <c r="BJ330" s="1" t="s">
        <v>2648</v>
      </c>
      <c r="BK330" s="1" t="s">
        <v>7595</v>
      </c>
      <c r="BL330" s="1" t="s">
        <v>2044</v>
      </c>
      <c r="BM330" s="1" t="s">
        <v>2993</v>
      </c>
    </row>
    <row r="331" spans="1:71" ht="216" x14ac:dyDescent="0.45">
      <c r="A331" s="5">
        <v>330</v>
      </c>
      <c r="B331" s="8" t="s">
        <v>1490</v>
      </c>
      <c r="C331" s="6" t="s">
        <v>1816</v>
      </c>
      <c r="D331" s="7" t="s">
        <v>9794</v>
      </c>
      <c r="E331" s="1" t="s">
        <v>1459</v>
      </c>
      <c r="F331" s="1" t="s">
        <v>1819</v>
      </c>
      <c r="G331" s="1" t="s">
        <v>1491</v>
      </c>
      <c r="J331" s="1" t="s">
        <v>9795</v>
      </c>
      <c r="K331" s="2" t="s">
        <v>7596</v>
      </c>
      <c r="L331" s="3" t="s">
        <v>8270</v>
      </c>
      <c r="M331" s="1" t="s">
        <v>12194</v>
      </c>
      <c r="P331" s="7" t="s">
        <v>1241</v>
      </c>
      <c r="Q331" s="14"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331" s="14"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S331" s="14"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331" s="14"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U331" s="13"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AU331" s="15"/>
      <c r="AV331" s="1" t="s">
        <v>1502</v>
      </c>
      <c r="BG331" s="7" t="s">
        <v>1503</v>
      </c>
      <c r="BH331" s="1" t="s">
        <v>2780</v>
      </c>
      <c r="BI331" s="2" t="s">
        <v>7597</v>
      </c>
      <c r="BJ331" s="1" t="s">
        <v>2048</v>
      </c>
      <c r="BK331" s="2" t="s">
        <v>2994</v>
      </c>
      <c r="BL331" s="1" t="s">
        <v>2031</v>
      </c>
      <c r="BM331" s="2" t="s">
        <v>2995</v>
      </c>
      <c r="BN331" s="1" t="s">
        <v>2044</v>
      </c>
      <c r="BO331" s="2" t="s">
        <v>7598</v>
      </c>
    </row>
    <row r="332" spans="1:71" ht="144" x14ac:dyDescent="0.45">
      <c r="A332" s="5">
        <v>331</v>
      </c>
      <c r="B332" s="8" t="s">
        <v>228</v>
      </c>
      <c r="C332" s="6" t="s">
        <v>1816</v>
      </c>
      <c r="D332" s="7" t="s">
        <v>9794</v>
      </c>
      <c r="E332" s="6" t="s">
        <v>228</v>
      </c>
      <c r="F332" s="1"/>
      <c r="G332" s="1"/>
      <c r="J332" s="1" t="s">
        <v>9795</v>
      </c>
      <c r="K332" s="2" t="s">
        <v>7599</v>
      </c>
      <c r="L332" s="9" t="s">
        <v>8271</v>
      </c>
      <c r="P332" s="7" t="s">
        <v>1241</v>
      </c>
      <c r="Q332" s="14"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R332" s="13"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AU332" s="15"/>
      <c r="AV332" s="1" t="s">
        <v>1502</v>
      </c>
      <c r="BG332" s="7" t="s">
        <v>1503</v>
      </c>
      <c r="BH332" s="1" t="s">
        <v>2780</v>
      </c>
      <c r="BI332" s="2" t="s">
        <v>7600</v>
      </c>
      <c r="BJ332" s="1" t="s">
        <v>2147</v>
      </c>
      <c r="BK332" s="2" t="s">
        <v>2996</v>
      </c>
      <c r="BL332" s="1" t="s">
        <v>1865</v>
      </c>
      <c r="BM332" s="2" t="s">
        <v>2997</v>
      </c>
    </row>
    <row r="333" spans="1:71" ht="270" x14ac:dyDescent="0.45">
      <c r="A333" s="5">
        <v>332</v>
      </c>
      <c r="B333" s="8" t="s">
        <v>1290</v>
      </c>
      <c r="C333" s="6" t="s">
        <v>1816</v>
      </c>
      <c r="D333" s="7" t="s">
        <v>9794</v>
      </c>
      <c r="E333" s="1" t="s">
        <v>5539</v>
      </c>
      <c r="F333" s="1" t="s">
        <v>5008</v>
      </c>
      <c r="G333" s="1"/>
      <c r="J333" s="1" t="s">
        <v>9795</v>
      </c>
      <c r="K333" s="2" t="s">
        <v>7601</v>
      </c>
      <c r="L333" s="2" t="s">
        <v>8272</v>
      </c>
      <c r="M333" s="1" t="s">
        <v>12249</v>
      </c>
      <c r="P333" s="7" t="s">
        <v>1241</v>
      </c>
      <c r="Q333" s="1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333" s="14"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S333" s="14"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T333" s="1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U333" s="1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V333" s="1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AU333" s="15"/>
      <c r="AV333" s="1" t="s">
        <v>1502</v>
      </c>
      <c r="BG333" s="7" t="s">
        <v>1503</v>
      </c>
      <c r="BH333" s="1" t="s">
        <v>2780</v>
      </c>
      <c r="BI333" s="2" t="s">
        <v>2998</v>
      </c>
      <c r="BJ333" s="1" t="s">
        <v>1865</v>
      </c>
      <c r="BK333" s="2" t="s">
        <v>2999</v>
      </c>
    </row>
    <row r="334" spans="1:71" ht="108" x14ac:dyDescent="0.45">
      <c r="A334" s="5">
        <v>333</v>
      </c>
      <c r="B334" s="8" t="s">
        <v>229</v>
      </c>
      <c r="C334" s="6" t="s">
        <v>1816</v>
      </c>
      <c r="D334" s="7" t="s">
        <v>9794</v>
      </c>
      <c r="E334" s="1" t="s">
        <v>1341</v>
      </c>
      <c r="F334" s="1" t="s">
        <v>1466</v>
      </c>
      <c r="G334" s="1"/>
      <c r="J334" s="1" t="s">
        <v>9795</v>
      </c>
      <c r="K334" s="2" t="s">
        <v>3000</v>
      </c>
      <c r="L334" s="9" t="s">
        <v>8273</v>
      </c>
      <c r="P334" s="7" t="s">
        <v>1241</v>
      </c>
      <c r="AU334" s="15"/>
      <c r="AV334" s="1" t="s">
        <v>1502</v>
      </c>
      <c r="BG334" s="7" t="s">
        <v>1503</v>
      </c>
      <c r="BH334" s="1" t="s">
        <v>2780</v>
      </c>
      <c r="BI334" s="2" t="s">
        <v>3001</v>
      </c>
      <c r="BJ334" s="1" t="s">
        <v>2031</v>
      </c>
      <c r="BK334" s="1" t="s">
        <v>3002</v>
      </c>
      <c r="BL334" s="1" t="s">
        <v>2754</v>
      </c>
      <c r="BM334" s="1" t="s">
        <v>3003</v>
      </c>
      <c r="BN334" s="1" t="s">
        <v>2044</v>
      </c>
      <c r="BO334" s="2" t="s">
        <v>3004</v>
      </c>
      <c r="BP334" s="1" t="s">
        <v>1865</v>
      </c>
      <c r="BQ334" s="2" t="s">
        <v>3005</v>
      </c>
    </row>
    <row r="335" spans="1:71" ht="54" x14ac:dyDescent="0.45">
      <c r="A335" s="5">
        <v>334</v>
      </c>
      <c r="B335" s="8" t="s">
        <v>230</v>
      </c>
      <c r="C335" s="6" t="s">
        <v>1816</v>
      </c>
      <c r="D335" s="7" t="s">
        <v>9794</v>
      </c>
      <c r="E335" s="6" t="s">
        <v>230</v>
      </c>
      <c r="F335" s="1"/>
      <c r="G335" s="1"/>
      <c r="J335" s="1" t="s">
        <v>9795</v>
      </c>
      <c r="K335" s="2" t="s">
        <v>3006</v>
      </c>
      <c r="L335" s="9" t="s">
        <v>8274</v>
      </c>
      <c r="M335" s="1" t="s">
        <v>12186</v>
      </c>
      <c r="P335" s="7" t="s">
        <v>1241</v>
      </c>
      <c r="Q335" s="13"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R335" s="13"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S335" s="13"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T335" s="13"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U335" s="13"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AV335" s="1" t="s">
        <v>1502</v>
      </c>
      <c r="BG335" s="7" t="s">
        <v>1503</v>
      </c>
      <c r="BH335" s="1" t="s">
        <v>2569</v>
      </c>
      <c r="BI335" s="1" t="s">
        <v>3007</v>
      </c>
      <c r="BJ335" s="1" t="s">
        <v>2648</v>
      </c>
      <c r="BK335" s="1" t="s">
        <v>7602</v>
      </c>
    </row>
    <row r="336" spans="1:71" ht="144" x14ac:dyDescent="0.45">
      <c r="A336" s="5">
        <v>335</v>
      </c>
      <c r="B336" s="8" t="s">
        <v>231</v>
      </c>
      <c r="C336" s="6" t="s">
        <v>1816</v>
      </c>
      <c r="D336" s="7" t="s">
        <v>9794</v>
      </c>
      <c r="E336" s="6" t="s">
        <v>231</v>
      </c>
      <c r="F336" s="1"/>
      <c r="G336" s="1"/>
      <c r="J336" s="1" t="s">
        <v>9795</v>
      </c>
      <c r="K336" s="2" t="s">
        <v>7603</v>
      </c>
      <c r="L336" s="9" t="s">
        <v>8628</v>
      </c>
      <c r="P336" s="7" t="s">
        <v>1241</v>
      </c>
      <c r="AV336" s="1" t="s">
        <v>1502</v>
      </c>
      <c r="BG336" s="7" t="s">
        <v>1503</v>
      </c>
      <c r="BH336" s="1" t="s">
        <v>2648</v>
      </c>
      <c r="BI336" s="1" t="s">
        <v>3008</v>
      </c>
      <c r="BJ336" s="1" t="s">
        <v>1865</v>
      </c>
      <c r="BK336" s="2" t="s">
        <v>3009</v>
      </c>
    </row>
    <row r="337" spans="1:69" ht="216" x14ac:dyDescent="0.45">
      <c r="A337" s="5">
        <v>336</v>
      </c>
      <c r="B337" s="8" t="s">
        <v>232</v>
      </c>
      <c r="C337" s="6" t="s">
        <v>1816</v>
      </c>
      <c r="D337" s="7" t="s">
        <v>9794</v>
      </c>
      <c r="E337" s="6" t="s">
        <v>1467</v>
      </c>
      <c r="F337" s="6" t="s">
        <v>554</v>
      </c>
      <c r="G337" s="1"/>
      <c r="J337" s="1" t="s">
        <v>9795</v>
      </c>
      <c r="K337" s="2" t="s">
        <v>7604</v>
      </c>
      <c r="L337" s="3" t="s">
        <v>10077</v>
      </c>
      <c r="P337" s="7" t="s">
        <v>1241</v>
      </c>
      <c r="AU337" s="15"/>
      <c r="AV337" s="1" t="s">
        <v>1502</v>
      </c>
      <c r="BG337" s="7" t="s">
        <v>1503</v>
      </c>
      <c r="BH337" s="1" t="s">
        <v>2780</v>
      </c>
      <c r="BI337" s="2" t="s">
        <v>3010</v>
      </c>
      <c r="BJ337" s="1" t="s">
        <v>2048</v>
      </c>
      <c r="BK337" s="1" t="s">
        <v>3011</v>
      </c>
      <c r="BL337" s="1" t="s">
        <v>2031</v>
      </c>
      <c r="BM337" s="1" t="s">
        <v>3012</v>
      </c>
      <c r="BN337" s="1" t="s">
        <v>2044</v>
      </c>
      <c r="BO337" s="2" t="s">
        <v>3013</v>
      </c>
    </row>
    <row r="338" spans="1:69" ht="234" x14ac:dyDescent="0.45">
      <c r="A338" s="5">
        <v>337</v>
      </c>
      <c r="B338" s="8" t="s">
        <v>233</v>
      </c>
      <c r="C338" s="6" t="s">
        <v>1816</v>
      </c>
      <c r="D338" s="7" t="s">
        <v>9794</v>
      </c>
      <c r="E338" s="1" t="s">
        <v>233</v>
      </c>
      <c r="F338" s="1"/>
      <c r="G338" s="1"/>
      <c r="J338" s="1" t="s">
        <v>9795</v>
      </c>
      <c r="K338" s="2" t="s">
        <v>7605</v>
      </c>
      <c r="L338" s="9" t="s">
        <v>8275</v>
      </c>
      <c r="P338" s="7" t="s">
        <v>1241</v>
      </c>
      <c r="Q338" s="14" t="str">
        <f>INDEX($L:$L, MATCH("hostile", $B:$B, 0))</f>
        <v>&lt;span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v>
      </c>
      <c r="AU338" s="15"/>
      <c r="AV338" s="1" t="s">
        <v>1502</v>
      </c>
      <c r="BG338" s="7" t="s">
        <v>1503</v>
      </c>
      <c r="BH338" s="1" t="s">
        <v>2569</v>
      </c>
      <c r="BI338" s="2" t="s">
        <v>3014</v>
      </c>
      <c r="BJ338" s="1" t="s">
        <v>2780</v>
      </c>
      <c r="BK338" s="2" t="s">
        <v>3015</v>
      </c>
      <c r="BL338" s="1" t="s">
        <v>2031</v>
      </c>
      <c r="BM338" s="1" t="s">
        <v>3016</v>
      </c>
      <c r="BN338" s="1" t="s">
        <v>2044</v>
      </c>
      <c r="BO338" s="2" t="s">
        <v>3017</v>
      </c>
    </row>
    <row r="339" spans="1:69" ht="252" x14ac:dyDescent="0.45">
      <c r="A339" s="5">
        <v>338</v>
      </c>
      <c r="B339" s="8" t="s">
        <v>234</v>
      </c>
      <c r="C339" s="6" t="s">
        <v>1816</v>
      </c>
      <c r="D339" s="7" t="s">
        <v>9794</v>
      </c>
      <c r="E339" s="1" t="s">
        <v>1467</v>
      </c>
      <c r="F339" s="1" t="s">
        <v>1468</v>
      </c>
      <c r="G339" s="1"/>
      <c r="J339" s="1" t="s">
        <v>9795</v>
      </c>
      <c r="K339" s="2" t="s">
        <v>7606</v>
      </c>
      <c r="L339" s="9" t="s">
        <v>8276</v>
      </c>
      <c r="P339" s="7" t="s">
        <v>1241</v>
      </c>
      <c r="Q339" s="19" t="str">
        <f>INDEX($L:$L, MATCH("doubt", $B:$B, 0))</f>
        <v>&lt;span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v>
      </c>
      <c r="R339" s="19" t="str">
        <f>INDEX($L:$L, MATCH("twist", $B:$B, 0))</f>
        <v>&lt;span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v>
      </c>
      <c r="AU339" s="15"/>
      <c r="AV339" s="1" t="s">
        <v>1502</v>
      </c>
      <c r="BG339" s="7" t="s">
        <v>1503</v>
      </c>
      <c r="BH339" s="1" t="s">
        <v>2780</v>
      </c>
      <c r="BI339" s="2" t="s">
        <v>3018</v>
      </c>
      <c r="BJ339" s="1" t="s">
        <v>2147</v>
      </c>
      <c r="BK339" s="1" t="s">
        <v>3019</v>
      </c>
      <c r="BL339" s="1" t="s">
        <v>2031</v>
      </c>
      <c r="BM339" s="1" t="s">
        <v>3020</v>
      </c>
      <c r="BN339" s="1" t="s">
        <v>2044</v>
      </c>
      <c r="BO339" s="2" t="s">
        <v>3021</v>
      </c>
      <c r="BP339" s="1" t="s">
        <v>1865</v>
      </c>
      <c r="BQ339" s="2" t="s">
        <v>3022</v>
      </c>
    </row>
    <row r="340" spans="1:69" ht="270" x14ac:dyDescent="0.45">
      <c r="A340" s="5">
        <v>339</v>
      </c>
      <c r="B340" s="8" t="s">
        <v>1492</v>
      </c>
      <c r="C340" s="6" t="s">
        <v>1816</v>
      </c>
      <c r="D340" s="7" t="s">
        <v>9794</v>
      </c>
      <c r="E340" s="1" t="s">
        <v>1413</v>
      </c>
      <c r="F340" s="1" t="s">
        <v>54</v>
      </c>
      <c r="G340" s="1"/>
      <c r="J340" s="1" t="s">
        <v>9795</v>
      </c>
      <c r="K340" s="2" t="s">
        <v>7607</v>
      </c>
      <c r="L340" s="2" t="s">
        <v>8277</v>
      </c>
      <c r="M340" s="1" t="s">
        <v>12171</v>
      </c>
      <c r="P340" s="7" t="s">
        <v>1241</v>
      </c>
      <c r="Q340" s="14"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340" s="14"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340" s="14"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T340" s="14"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U340"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V340" s="14"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U340" s="15"/>
      <c r="AV340" s="1" t="s">
        <v>1502</v>
      </c>
      <c r="BG340" s="7" t="s">
        <v>1503</v>
      </c>
      <c r="BH340" s="1" t="s">
        <v>2780</v>
      </c>
      <c r="BI340" s="2" t="s">
        <v>3023</v>
      </c>
      <c r="BJ340" s="1" t="s">
        <v>2031</v>
      </c>
      <c r="BK340" s="1" t="s">
        <v>3024</v>
      </c>
      <c r="BL340" s="1" t="s">
        <v>2754</v>
      </c>
      <c r="BM340" s="2" t="s">
        <v>3025</v>
      </c>
      <c r="BN340" s="1" t="s">
        <v>2044</v>
      </c>
      <c r="BO340" s="2" t="s">
        <v>3026</v>
      </c>
      <c r="BP340" s="1" t="s">
        <v>1865</v>
      </c>
      <c r="BQ340" s="2" t="s">
        <v>3027</v>
      </c>
    </row>
    <row r="341" spans="1:69" ht="180" x14ac:dyDescent="0.45">
      <c r="A341" s="5">
        <v>340</v>
      </c>
      <c r="B341" s="8" t="s">
        <v>235</v>
      </c>
      <c r="C341" s="6" t="s">
        <v>1816</v>
      </c>
      <c r="D341" s="7" t="s">
        <v>9794</v>
      </c>
      <c r="E341" s="1" t="s">
        <v>1329</v>
      </c>
      <c r="F341" s="1" t="s">
        <v>1469</v>
      </c>
      <c r="G341" s="1"/>
      <c r="J341" s="1" t="s">
        <v>9795</v>
      </c>
      <c r="K341" s="2" t="s">
        <v>7608</v>
      </c>
      <c r="L341" s="3" t="s">
        <v>8278</v>
      </c>
      <c r="M341" s="1" t="s">
        <v>12250</v>
      </c>
      <c r="P341" s="7" t="s">
        <v>1241</v>
      </c>
      <c r="Q341" s="14"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R341" s="14" t="str">
        <f>INDEX($L:$L, MATCH("precious", $B:$B, 0))</f>
        <v>&lt;span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v>
      </c>
      <c r="AU341" s="15"/>
      <c r="AV341" s="1" t="s">
        <v>1502</v>
      </c>
      <c r="BG341" s="7" t="s">
        <v>1503</v>
      </c>
      <c r="BH341" s="1" t="s">
        <v>2780</v>
      </c>
      <c r="BI341" s="2" t="s">
        <v>3028</v>
      </c>
      <c r="BJ341" s="1" t="s">
        <v>2147</v>
      </c>
      <c r="BK341" s="2" t="s">
        <v>3029</v>
      </c>
      <c r="BL341" s="1" t="s">
        <v>1865</v>
      </c>
      <c r="BM341" s="2" t="s">
        <v>3030</v>
      </c>
    </row>
    <row r="342" spans="1:69" ht="90" x14ac:dyDescent="0.45">
      <c r="A342" s="5">
        <v>341</v>
      </c>
      <c r="B342" s="8" t="s">
        <v>236</v>
      </c>
      <c r="C342" s="6" t="s">
        <v>6851</v>
      </c>
      <c r="D342" s="7" t="s">
        <v>9794</v>
      </c>
      <c r="E342" s="6" t="s">
        <v>236</v>
      </c>
      <c r="F342" s="1"/>
      <c r="G342" s="1"/>
      <c r="J342" s="1" t="s">
        <v>9795</v>
      </c>
      <c r="K342" s="2" t="s">
        <v>7609</v>
      </c>
      <c r="L342" s="3" t="s">
        <v>8279</v>
      </c>
      <c r="P342" s="7" t="s">
        <v>1241</v>
      </c>
      <c r="AV342" s="1" t="s">
        <v>1502</v>
      </c>
      <c r="BG342" s="7" t="s">
        <v>1503</v>
      </c>
      <c r="BH342" s="1" t="s">
        <v>2648</v>
      </c>
      <c r="BI342" s="1" t="s">
        <v>3031</v>
      </c>
      <c r="BJ342" s="1" t="s">
        <v>2031</v>
      </c>
      <c r="BK342" s="1" t="s">
        <v>3032</v>
      </c>
      <c r="BL342" s="1" t="s">
        <v>2044</v>
      </c>
      <c r="BM342" s="2" t="s">
        <v>3033</v>
      </c>
      <c r="BN342" s="1" t="s">
        <v>1865</v>
      </c>
      <c r="BO342" s="2" t="s">
        <v>3034</v>
      </c>
    </row>
    <row r="343" spans="1:69" ht="198" x14ac:dyDescent="0.45">
      <c r="A343" s="5">
        <v>342</v>
      </c>
      <c r="B343" s="8" t="s">
        <v>237</v>
      </c>
      <c r="C343" s="6" t="s">
        <v>6851</v>
      </c>
      <c r="D343" s="7" t="s">
        <v>9794</v>
      </c>
      <c r="E343" s="6" t="s">
        <v>237</v>
      </c>
      <c r="F343" s="1"/>
      <c r="G343" s="1"/>
      <c r="J343" s="1" t="s">
        <v>9795</v>
      </c>
      <c r="K343" s="2" t="s">
        <v>7610</v>
      </c>
      <c r="L343" s="9" t="s">
        <v>8280</v>
      </c>
      <c r="P343" s="7" t="s">
        <v>1241</v>
      </c>
      <c r="AU343" s="15"/>
      <c r="AV343" s="1" t="s">
        <v>1502</v>
      </c>
      <c r="BG343" s="7" t="s">
        <v>1503</v>
      </c>
      <c r="BH343" s="1" t="s">
        <v>2780</v>
      </c>
      <c r="BI343" s="2" t="s">
        <v>3035</v>
      </c>
      <c r="BJ343" s="1" t="s">
        <v>2031</v>
      </c>
      <c r="BK343" s="1" t="s">
        <v>3036</v>
      </c>
      <c r="BL343" s="1" t="s">
        <v>2044</v>
      </c>
      <c r="BM343" s="2" t="s">
        <v>3037</v>
      </c>
      <c r="BO343" s="2"/>
    </row>
    <row r="344" spans="1:69" ht="270" x14ac:dyDescent="0.45">
      <c r="A344" s="5">
        <v>343</v>
      </c>
      <c r="B344" s="8" t="s">
        <v>238</v>
      </c>
      <c r="C344" s="6" t="s">
        <v>6851</v>
      </c>
      <c r="D344" s="7" t="s">
        <v>9794</v>
      </c>
      <c r="E344" s="1" t="s">
        <v>1470</v>
      </c>
      <c r="F344" s="1" t="s">
        <v>1471</v>
      </c>
      <c r="G344" s="1"/>
      <c r="J344" s="1" t="s">
        <v>9795</v>
      </c>
      <c r="K344" s="2" t="s">
        <v>7611</v>
      </c>
      <c r="L344" s="4" t="s">
        <v>8281</v>
      </c>
      <c r="M344" s="1" t="s">
        <v>12251</v>
      </c>
      <c r="P344" s="7" t="s">
        <v>1241</v>
      </c>
      <c r="Q344" s="1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344" s="14"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S344" s="14"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T344" s="1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U344" s="1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V344" s="13"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344" s="13"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X344" s="13"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Y344" s="13"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U344" s="15"/>
      <c r="AV344" s="1" t="s">
        <v>1502</v>
      </c>
      <c r="BG344" s="7" t="s">
        <v>1503</v>
      </c>
      <c r="BH344" s="1" t="s">
        <v>2780</v>
      </c>
      <c r="BI344" s="2" t="s">
        <v>7612</v>
      </c>
      <c r="BJ344" s="1" t="s">
        <v>2031</v>
      </c>
      <c r="BK344" s="1" t="s">
        <v>3038</v>
      </c>
      <c r="BL344" s="1" t="s">
        <v>2754</v>
      </c>
      <c r="BM344" s="1" t="s">
        <v>238</v>
      </c>
      <c r="BN344" s="1" t="s">
        <v>2044</v>
      </c>
      <c r="BO344" s="2" t="s">
        <v>3039</v>
      </c>
      <c r="BP344" s="1" t="s">
        <v>1865</v>
      </c>
      <c r="BQ344" s="2" t="s">
        <v>3040</v>
      </c>
    </row>
    <row r="345" spans="1:69" ht="126" x14ac:dyDescent="0.45">
      <c r="A345" s="5">
        <v>344</v>
      </c>
      <c r="B345" s="8" t="s">
        <v>1597</v>
      </c>
      <c r="C345" s="6" t="s">
        <v>6851</v>
      </c>
      <c r="D345" s="7" t="s">
        <v>9794</v>
      </c>
      <c r="E345" s="6" t="s">
        <v>8973</v>
      </c>
      <c r="F345" s="1" t="s">
        <v>1598</v>
      </c>
      <c r="G345" s="1"/>
      <c r="J345" s="1" t="s">
        <v>9795</v>
      </c>
      <c r="K345" s="2" t="s">
        <v>7613</v>
      </c>
      <c r="L345" s="9" t="s">
        <v>8282</v>
      </c>
      <c r="P345" s="7" t="s">
        <v>1241</v>
      </c>
      <c r="Q345" s="13"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R345" s="13"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S345" s="13"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T345" s="13"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AU345" s="15"/>
      <c r="AV345" s="1" t="s">
        <v>1502</v>
      </c>
      <c r="BG345" s="7" t="s">
        <v>1503</v>
      </c>
      <c r="BH345" s="1" t="s">
        <v>2423</v>
      </c>
      <c r="BI345" s="2" t="s">
        <v>3041</v>
      </c>
      <c r="BJ345" s="1" t="s">
        <v>2147</v>
      </c>
      <c r="BK345" s="1" t="s">
        <v>3042</v>
      </c>
      <c r="BL345" s="1" t="s">
        <v>1865</v>
      </c>
      <c r="BM345" s="2" t="s">
        <v>3043</v>
      </c>
    </row>
    <row r="346" spans="1:69" ht="144" x14ac:dyDescent="0.45">
      <c r="A346" s="5">
        <v>345</v>
      </c>
      <c r="B346" s="8" t="s">
        <v>239</v>
      </c>
      <c r="C346" s="6" t="s">
        <v>6851</v>
      </c>
      <c r="D346" s="7" t="s">
        <v>9794</v>
      </c>
      <c r="E346" s="1" t="s">
        <v>1472</v>
      </c>
      <c r="F346" s="1" t="s">
        <v>1202</v>
      </c>
      <c r="G346" s="1"/>
      <c r="J346" s="1" t="s">
        <v>9795</v>
      </c>
      <c r="K346" s="2" t="s">
        <v>7614</v>
      </c>
      <c r="L346" s="3" t="s">
        <v>8283</v>
      </c>
      <c r="P346" s="7" t="s">
        <v>1241</v>
      </c>
      <c r="AU346" s="15"/>
      <c r="AV346" s="1" t="s">
        <v>1502</v>
      </c>
      <c r="BG346" s="7" t="s">
        <v>1503</v>
      </c>
      <c r="BH346" s="1" t="s">
        <v>2423</v>
      </c>
      <c r="BI346" s="2" t="s">
        <v>7615</v>
      </c>
      <c r="BJ346" s="1" t="s">
        <v>2162</v>
      </c>
      <c r="BK346" s="1" t="s">
        <v>3044</v>
      </c>
      <c r="BL346" s="1" t="s">
        <v>1865</v>
      </c>
      <c r="BM346" s="2" t="s">
        <v>3045</v>
      </c>
    </row>
    <row r="347" spans="1:69" ht="72" x14ac:dyDescent="0.45">
      <c r="A347" s="5">
        <v>346</v>
      </c>
      <c r="B347" s="8" t="s">
        <v>240</v>
      </c>
      <c r="C347" s="6" t="s">
        <v>6851</v>
      </c>
      <c r="D347" s="7" t="s">
        <v>9794</v>
      </c>
      <c r="E347" s="6" t="s">
        <v>240</v>
      </c>
      <c r="F347" s="1"/>
      <c r="G347" s="1"/>
      <c r="J347" s="1" t="s">
        <v>9795</v>
      </c>
      <c r="K347" s="2" t="s">
        <v>7616</v>
      </c>
      <c r="L347" s="9" t="s">
        <v>8284</v>
      </c>
      <c r="P347" s="7" t="s">
        <v>1241</v>
      </c>
      <c r="Q347" s="13" t="str">
        <f>INDEX($L:$L, MATCH("orient", $B:$B, 0))</f>
        <v>&lt;span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v>
      </c>
      <c r="R347" s="13" t="str">
        <f>INDEX($L:$L, MATCH("aboriginal", $B:$B, 0))</f>
        <v>&lt;span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v>
      </c>
      <c r="AU347" s="15"/>
      <c r="AV347" s="1" t="s">
        <v>1502</v>
      </c>
      <c r="BG347" s="7" t="s">
        <v>1503</v>
      </c>
      <c r="BH347" s="1" t="s">
        <v>2780</v>
      </c>
      <c r="BI347" s="2" t="s">
        <v>3046</v>
      </c>
      <c r="BJ347" s="1" t="s">
        <v>3047</v>
      </c>
      <c r="BK347" s="2" t="s">
        <v>3048</v>
      </c>
      <c r="BL347" s="1" t="s">
        <v>1865</v>
      </c>
      <c r="BM347" s="2" t="s">
        <v>3049</v>
      </c>
    </row>
    <row r="348" spans="1:69" ht="198" x14ac:dyDescent="0.45">
      <c r="A348" s="5">
        <v>347</v>
      </c>
      <c r="B348" s="8" t="s">
        <v>241</v>
      </c>
      <c r="C348" s="6" t="s">
        <v>6851</v>
      </c>
      <c r="D348" s="7" t="s">
        <v>9794</v>
      </c>
      <c r="E348" s="6" t="s">
        <v>1473</v>
      </c>
      <c r="F348" s="1" t="s">
        <v>49</v>
      </c>
      <c r="G348" s="1" t="s">
        <v>1474</v>
      </c>
      <c r="J348" s="1" t="s">
        <v>9795</v>
      </c>
      <c r="K348" s="2" t="s">
        <v>7617</v>
      </c>
      <c r="L348" s="9" t="s">
        <v>8285</v>
      </c>
      <c r="P348" s="7" t="s">
        <v>1241</v>
      </c>
      <c r="AU348" s="15"/>
      <c r="AV348" s="1" t="s">
        <v>1502</v>
      </c>
      <c r="BG348" s="7" t="s">
        <v>1503</v>
      </c>
      <c r="BH348" s="1" t="s">
        <v>2780</v>
      </c>
      <c r="BI348" s="2" t="s">
        <v>3050</v>
      </c>
      <c r="BJ348" s="1" t="s">
        <v>1980</v>
      </c>
      <c r="BK348" s="2" t="s">
        <v>7618</v>
      </c>
      <c r="BL348" s="1" t="s">
        <v>2031</v>
      </c>
      <c r="BM348" s="1" t="s">
        <v>3051</v>
      </c>
      <c r="BN348" s="1" t="s">
        <v>3047</v>
      </c>
      <c r="BO348" s="2" t="s">
        <v>3052</v>
      </c>
      <c r="BP348" s="1" t="s">
        <v>1865</v>
      </c>
      <c r="BQ348" s="2" t="s">
        <v>3053</v>
      </c>
    </row>
    <row r="349" spans="1:69" ht="198" x14ac:dyDescent="0.45">
      <c r="A349" s="5">
        <v>348</v>
      </c>
      <c r="B349" s="8" t="s">
        <v>242</v>
      </c>
      <c r="C349" s="6" t="s">
        <v>6851</v>
      </c>
      <c r="D349" s="7" t="s">
        <v>9794</v>
      </c>
      <c r="E349" s="1" t="s">
        <v>1475</v>
      </c>
      <c r="F349" s="1" t="s">
        <v>1474</v>
      </c>
      <c r="G349" s="1"/>
      <c r="J349" s="1" t="s">
        <v>9795</v>
      </c>
      <c r="K349" s="2" t="s">
        <v>7619</v>
      </c>
      <c r="L349" s="4" t="s">
        <v>8286</v>
      </c>
      <c r="M349" s="1" t="s">
        <v>12249</v>
      </c>
      <c r="P349" s="7" t="s">
        <v>1241</v>
      </c>
      <c r="Q349" s="1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349" s="14"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S349"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349" s="13"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U349" s="13"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V349" s="13"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AU349" s="15"/>
      <c r="AV349" s="1" t="s">
        <v>1502</v>
      </c>
      <c r="BG349" s="7" t="s">
        <v>1503</v>
      </c>
      <c r="BH349" s="1" t="s">
        <v>2780</v>
      </c>
      <c r="BI349" s="2" t="s">
        <v>7620</v>
      </c>
      <c r="BJ349" s="1" t="s">
        <v>2031</v>
      </c>
      <c r="BK349" s="1" t="s">
        <v>3054</v>
      </c>
      <c r="BL349" s="1" t="s">
        <v>3047</v>
      </c>
      <c r="BM349" s="2" t="s">
        <v>3055</v>
      </c>
    </row>
    <row r="350" spans="1:69" ht="108" x14ac:dyDescent="0.45">
      <c r="A350" s="5">
        <v>349</v>
      </c>
      <c r="B350" s="8" t="s">
        <v>243</v>
      </c>
      <c r="C350" s="6" t="s">
        <v>6851</v>
      </c>
      <c r="D350" s="7" t="s">
        <v>9794</v>
      </c>
      <c r="E350" s="1" t="s">
        <v>31</v>
      </c>
      <c r="F350" s="1" t="s">
        <v>1476</v>
      </c>
      <c r="G350" s="1"/>
      <c r="J350" s="1" t="s">
        <v>9795</v>
      </c>
      <c r="K350" s="2" t="s">
        <v>7621</v>
      </c>
      <c r="L350" s="9" t="s">
        <v>8287</v>
      </c>
      <c r="P350" s="7" t="s">
        <v>1241</v>
      </c>
      <c r="Q350" s="13"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350" s="13"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S350" s="13"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U350" s="15"/>
      <c r="AV350" s="1" t="s">
        <v>1502</v>
      </c>
      <c r="BG350" s="7" t="s">
        <v>1503</v>
      </c>
      <c r="BH350" s="1" t="s">
        <v>2780</v>
      </c>
      <c r="BI350" s="2" t="s">
        <v>7622</v>
      </c>
      <c r="BJ350" s="1" t="s">
        <v>2031</v>
      </c>
      <c r="BK350" s="1" t="s">
        <v>3056</v>
      </c>
      <c r="BL350" s="1" t="s">
        <v>3047</v>
      </c>
      <c r="BM350" s="2" t="s">
        <v>3057</v>
      </c>
      <c r="BN350" s="1" t="s">
        <v>1865</v>
      </c>
      <c r="BO350" s="2" t="s">
        <v>3058</v>
      </c>
    </row>
    <row r="351" spans="1:69" ht="288" x14ac:dyDescent="0.45">
      <c r="A351" s="5">
        <v>350</v>
      </c>
      <c r="B351" s="8" t="s">
        <v>1493</v>
      </c>
      <c r="C351" s="6" t="s">
        <v>6851</v>
      </c>
      <c r="D351" s="7" t="s">
        <v>9794</v>
      </c>
      <c r="E351" s="1" t="s">
        <v>8974</v>
      </c>
      <c r="F351" s="1" t="s">
        <v>8939</v>
      </c>
      <c r="G351" s="1"/>
      <c r="J351" s="1" t="s">
        <v>9795</v>
      </c>
      <c r="K351" s="2" t="s">
        <v>8629</v>
      </c>
      <c r="L351" s="3" t="s">
        <v>8288</v>
      </c>
      <c r="M351" s="1" t="s">
        <v>12225</v>
      </c>
      <c r="P351" s="7" t="s">
        <v>1241</v>
      </c>
      <c r="Q351" s="1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351" s="1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351" s="1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351" s="14"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351" s="14"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351" s="1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351" s="1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351"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351"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351"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351"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351"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351"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351"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351"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351" s="15"/>
      <c r="AV351" s="1" t="s">
        <v>1502</v>
      </c>
      <c r="BG351" s="7" t="s">
        <v>1503</v>
      </c>
      <c r="BH351" s="1" t="s">
        <v>2780</v>
      </c>
      <c r="BI351" s="2" t="s">
        <v>7623</v>
      </c>
      <c r="BJ351" s="1" t="s">
        <v>2031</v>
      </c>
      <c r="BK351" s="1" t="s">
        <v>3059</v>
      </c>
      <c r="BL351" s="1" t="s">
        <v>3047</v>
      </c>
      <c r="BM351" s="2" t="s">
        <v>3060</v>
      </c>
    </row>
    <row r="352" spans="1:69" ht="252" x14ac:dyDescent="0.45">
      <c r="A352" s="5">
        <v>351</v>
      </c>
      <c r="B352" s="8" t="s">
        <v>1494</v>
      </c>
      <c r="C352" s="6" t="s">
        <v>6851</v>
      </c>
      <c r="D352" s="7" t="s">
        <v>9794</v>
      </c>
      <c r="E352" s="1" t="s">
        <v>244</v>
      </c>
      <c r="F352" s="1"/>
      <c r="G352" s="1"/>
      <c r="J352" s="1" t="s">
        <v>9795</v>
      </c>
      <c r="K352" s="2" t="s">
        <v>7624</v>
      </c>
      <c r="L352" s="4" t="s">
        <v>8289</v>
      </c>
      <c r="P352" s="7" t="s">
        <v>1241</v>
      </c>
      <c r="Q352" s="14"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352" s="14"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S352" s="1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T352" s="14"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U352"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352"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352" s="15"/>
      <c r="AV352" s="1" t="s">
        <v>1502</v>
      </c>
      <c r="BG352" s="7" t="s">
        <v>1503</v>
      </c>
      <c r="BH352" s="1" t="s">
        <v>2780</v>
      </c>
      <c r="BI352" s="2" t="s">
        <v>3061</v>
      </c>
      <c r="BJ352" s="1" t="s">
        <v>2048</v>
      </c>
      <c r="BK352" s="1" t="s">
        <v>3062</v>
      </c>
      <c r="BL352" s="1" t="s">
        <v>2031</v>
      </c>
      <c r="BM352" s="1" t="s">
        <v>3063</v>
      </c>
      <c r="BN352" s="1" t="s">
        <v>2321</v>
      </c>
      <c r="BO352" s="1" t="s">
        <v>3064</v>
      </c>
      <c r="BP352" s="1" t="s">
        <v>3047</v>
      </c>
      <c r="BQ352" s="2" t="s">
        <v>3065</v>
      </c>
    </row>
    <row r="353" spans="1:69" ht="72" x14ac:dyDescent="0.45">
      <c r="A353" s="5">
        <v>352</v>
      </c>
      <c r="B353" s="8" t="s">
        <v>245</v>
      </c>
      <c r="C353" s="6" t="s">
        <v>6851</v>
      </c>
      <c r="D353" s="7" t="s">
        <v>9794</v>
      </c>
      <c r="E353" s="6" t="s">
        <v>245</v>
      </c>
      <c r="F353" s="1"/>
      <c r="G353" s="1"/>
      <c r="J353" s="1" t="s">
        <v>9795</v>
      </c>
      <c r="K353" s="10"/>
      <c r="L353" s="9" t="s">
        <v>8290</v>
      </c>
      <c r="P353" s="7" t="s">
        <v>1241</v>
      </c>
      <c r="AU353" s="15"/>
      <c r="AV353" s="1" t="s">
        <v>1502</v>
      </c>
      <c r="BG353" s="7" t="s">
        <v>1503</v>
      </c>
      <c r="BH353" s="1" t="s">
        <v>2648</v>
      </c>
      <c r="BI353" s="2" t="s">
        <v>3066</v>
      </c>
      <c r="BJ353" s="1" t="s">
        <v>3047</v>
      </c>
      <c r="BK353" s="1" t="s">
        <v>3067</v>
      </c>
    </row>
    <row r="354" spans="1:69" ht="252" x14ac:dyDescent="0.45">
      <c r="A354" s="5">
        <v>353</v>
      </c>
      <c r="B354" s="8" t="s">
        <v>1599</v>
      </c>
      <c r="C354" s="6" t="s">
        <v>6851</v>
      </c>
      <c r="D354" s="7" t="s">
        <v>9794</v>
      </c>
      <c r="E354" s="1" t="s">
        <v>1251</v>
      </c>
      <c r="F354" s="1" t="s">
        <v>1477</v>
      </c>
      <c r="G354" s="1"/>
      <c r="J354" s="1" t="s">
        <v>9795</v>
      </c>
      <c r="K354" s="2" t="s">
        <v>7625</v>
      </c>
      <c r="L354" s="3" t="s">
        <v>8291</v>
      </c>
      <c r="M354" s="1" t="s">
        <v>12252</v>
      </c>
      <c r="P354" s="7" t="s">
        <v>1241</v>
      </c>
      <c r="Q354" s="14"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R354" s="14"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S354" s="14"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T354" s="14"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AU354" s="15"/>
      <c r="AV354" s="1" t="s">
        <v>1502</v>
      </c>
      <c r="BG354" s="7" t="s">
        <v>1503</v>
      </c>
      <c r="BH354" s="1" t="s">
        <v>2780</v>
      </c>
      <c r="BI354" s="2" t="s">
        <v>3068</v>
      </c>
      <c r="BJ354" s="1" t="s">
        <v>2031</v>
      </c>
      <c r="BK354" s="1" t="s">
        <v>1599</v>
      </c>
      <c r="BL354" s="1" t="s">
        <v>3047</v>
      </c>
      <c r="BM354" s="2" t="s">
        <v>3069</v>
      </c>
    </row>
    <row r="355" spans="1:69" ht="180" x14ac:dyDescent="0.45">
      <c r="A355" s="5">
        <v>354</v>
      </c>
      <c r="B355" s="8" t="s">
        <v>246</v>
      </c>
      <c r="C355" s="6" t="s">
        <v>6851</v>
      </c>
      <c r="D355" s="7" t="s">
        <v>9794</v>
      </c>
      <c r="E355" s="6" t="s">
        <v>1495</v>
      </c>
      <c r="F355" s="1" t="s">
        <v>1496</v>
      </c>
      <c r="G355" s="1"/>
      <c r="J355" s="1" t="s">
        <v>9795</v>
      </c>
      <c r="K355" s="2" t="s">
        <v>7626</v>
      </c>
      <c r="L355" s="9" t="s">
        <v>12132</v>
      </c>
      <c r="P355" s="7" t="s">
        <v>1241</v>
      </c>
      <c r="AU355" s="15"/>
      <c r="AV355" s="1" t="s">
        <v>1502</v>
      </c>
      <c r="BG355" s="7" t="s">
        <v>1503</v>
      </c>
      <c r="BH355" s="1" t="s">
        <v>3047</v>
      </c>
      <c r="BI355" s="2" t="s">
        <v>7627</v>
      </c>
    </row>
    <row r="356" spans="1:69" ht="162" x14ac:dyDescent="0.45">
      <c r="A356" s="5">
        <v>355</v>
      </c>
      <c r="B356" s="8" t="s">
        <v>1600</v>
      </c>
      <c r="C356" s="6" t="s">
        <v>6851</v>
      </c>
      <c r="D356" s="7" t="s">
        <v>9794</v>
      </c>
      <c r="E356" s="1" t="s">
        <v>27</v>
      </c>
      <c r="F356" s="1" t="s">
        <v>7628</v>
      </c>
      <c r="G356" s="1" t="s">
        <v>1584</v>
      </c>
      <c r="J356" s="1" t="s">
        <v>9795</v>
      </c>
      <c r="K356" s="2" t="s">
        <v>7629</v>
      </c>
      <c r="L356" s="3" t="s">
        <v>8292</v>
      </c>
      <c r="M356" s="1" t="s">
        <v>12253</v>
      </c>
      <c r="P356" s="7" t="s">
        <v>1241</v>
      </c>
      <c r="Q356" s="14"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R356"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U356" s="15"/>
      <c r="AV356" s="1" t="s">
        <v>1502</v>
      </c>
      <c r="BG356" s="7" t="s">
        <v>1503</v>
      </c>
      <c r="BH356" s="1" t="s">
        <v>2780</v>
      </c>
      <c r="BI356" s="2" t="s">
        <v>7630</v>
      </c>
      <c r="BJ356" s="1" t="s">
        <v>2031</v>
      </c>
      <c r="BK356" s="1" t="s">
        <v>3070</v>
      </c>
      <c r="BL356" s="1" t="s">
        <v>3047</v>
      </c>
      <c r="BM356" s="2" t="s">
        <v>3071</v>
      </c>
      <c r="BN356" s="1" t="s">
        <v>1865</v>
      </c>
      <c r="BO356" s="2" t="s">
        <v>3072</v>
      </c>
    </row>
    <row r="357" spans="1:69" ht="198" x14ac:dyDescent="0.45">
      <c r="A357" s="5">
        <v>356</v>
      </c>
      <c r="B357" s="8" t="s">
        <v>247</v>
      </c>
      <c r="C357" s="6" t="s">
        <v>6851</v>
      </c>
      <c r="D357" s="7" t="s">
        <v>9794</v>
      </c>
      <c r="E357" s="1" t="s">
        <v>1497</v>
      </c>
      <c r="F357" s="1" t="s">
        <v>1695</v>
      </c>
      <c r="G357" s="1" t="s">
        <v>1474</v>
      </c>
      <c r="J357" s="1" t="s">
        <v>9795</v>
      </c>
      <c r="K357" s="2" t="s">
        <v>7631</v>
      </c>
      <c r="L357" s="3" t="s">
        <v>8293</v>
      </c>
      <c r="P357" s="7" t="s">
        <v>1241</v>
      </c>
      <c r="AU357" s="15"/>
      <c r="AV357" s="1" t="s">
        <v>1502</v>
      </c>
      <c r="BG357" s="7" t="s">
        <v>1503</v>
      </c>
      <c r="BH357" s="1" t="s">
        <v>2780</v>
      </c>
      <c r="BI357" s="2" t="s">
        <v>7632</v>
      </c>
      <c r="BJ357" s="1" t="s">
        <v>2031</v>
      </c>
      <c r="BK357" s="1" t="s">
        <v>3073</v>
      </c>
      <c r="BL357" s="1" t="s">
        <v>3047</v>
      </c>
      <c r="BM357" s="2" t="s">
        <v>3074</v>
      </c>
      <c r="BN357" s="1" t="s">
        <v>1865</v>
      </c>
      <c r="BO357" s="2" t="s">
        <v>3075</v>
      </c>
    </row>
    <row r="358" spans="1:69" ht="126" x14ac:dyDescent="0.45">
      <c r="A358" s="5">
        <v>357</v>
      </c>
      <c r="B358" s="8" t="s">
        <v>248</v>
      </c>
      <c r="C358" s="6" t="s">
        <v>6851</v>
      </c>
      <c r="D358" s="7" t="s">
        <v>9794</v>
      </c>
      <c r="E358" s="6" t="s">
        <v>248</v>
      </c>
      <c r="F358" s="1"/>
      <c r="G358" s="1"/>
      <c r="J358" s="1" t="s">
        <v>9795</v>
      </c>
      <c r="K358" s="2" t="s">
        <v>7633</v>
      </c>
      <c r="L358" s="9" t="s">
        <v>8294</v>
      </c>
      <c r="P358" s="7" t="s">
        <v>1241</v>
      </c>
      <c r="Q358" s="13" t="str">
        <f>INDEX($L:$L, MATCH("devote", $B:$B, 0))</f>
        <v>&lt;span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v>
      </c>
      <c r="AU358" s="15"/>
      <c r="AV358" s="1" t="s">
        <v>1502</v>
      </c>
      <c r="BG358" s="7" t="s">
        <v>1503</v>
      </c>
      <c r="BH358" s="1" t="s">
        <v>2780</v>
      </c>
      <c r="BI358" s="2" t="s">
        <v>3076</v>
      </c>
      <c r="BJ358" s="1" t="s">
        <v>3047</v>
      </c>
      <c r="BK358" s="2" t="s">
        <v>3077</v>
      </c>
      <c r="BL358" s="1" t="s">
        <v>1865</v>
      </c>
      <c r="BM358" s="2" t="s">
        <v>3078</v>
      </c>
    </row>
    <row r="359" spans="1:69" ht="108" x14ac:dyDescent="0.45">
      <c r="A359" s="5">
        <v>358</v>
      </c>
      <c r="B359" s="8" t="s">
        <v>249</v>
      </c>
      <c r="C359" s="6" t="s">
        <v>6851</v>
      </c>
      <c r="D359" s="7" t="s">
        <v>9794</v>
      </c>
      <c r="E359" s="6" t="s">
        <v>249</v>
      </c>
      <c r="F359" s="1"/>
      <c r="G359" s="1"/>
      <c r="J359" s="1" t="s">
        <v>9795</v>
      </c>
      <c r="K359" s="2" t="s">
        <v>7634</v>
      </c>
      <c r="L359" s="4" t="s">
        <v>8295</v>
      </c>
      <c r="P359" s="7" t="s">
        <v>1241</v>
      </c>
      <c r="AU359" s="15"/>
      <c r="AV359" s="1" t="s">
        <v>1502</v>
      </c>
      <c r="BG359" s="7" t="s">
        <v>1503</v>
      </c>
      <c r="BH359" s="1" t="s">
        <v>2648</v>
      </c>
      <c r="BI359" s="2" t="s">
        <v>3079</v>
      </c>
      <c r="BJ359" s="1" t="s">
        <v>3047</v>
      </c>
      <c r="BK359" s="2" t="s">
        <v>3080</v>
      </c>
    </row>
    <row r="360" spans="1:69" ht="198" x14ac:dyDescent="0.45">
      <c r="A360" s="5">
        <v>359</v>
      </c>
      <c r="B360" s="8" t="s">
        <v>1601</v>
      </c>
      <c r="C360" s="6" t="s">
        <v>6851</v>
      </c>
      <c r="D360" s="7" t="s">
        <v>9794</v>
      </c>
      <c r="E360" s="6" t="s">
        <v>8975</v>
      </c>
      <c r="F360" s="1" t="s">
        <v>1602</v>
      </c>
      <c r="G360" s="1"/>
      <c r="J360" s="1" t="s">
        <v>9795</v>
      </c>
      <c r="K360" s="2" t="s">
        <v>7635</v>
      </c>
      <c r="L360" s="9" t="s">
        <v>8296</v>
      </c>
      <c r="P360" s="7" t="s">
        <v>1241</v>
      </c>
      <c r="AU360" s="15"/>
      <c r="AV360" s="1" t="s">
        <v>1502</v>
      </c>
      <c r="BG360" s="7" t="s">
        <v>1503</v>
      </c>
      <c r="BH360" s="1" t="s">
        <v>2780</v>
      </c>
      <c r="BI360" s="2" t="s">
        <v>7636</v>
      </c>
      <c r="BJ360" s="1" t="s">
        <v>2036</v>
      </c>
      <c r="BK360" s="2" t="s">
        <v>7637</v>
      </c>
      <c r="BL360" s="1" t="s">
        <v>2031</v>
      </c>
      <c r="BM360" s="1" t="s">
        <v>3081</v>
      </c>
      <c r="BN360" s="1" t="s">
        <v>2519</v>
      </c>
      <c r="BO360" s="1" t="s">
        <v>3082</v>
      </c>
      <c r="BP360" s="1" t="s">
        <v>1865</v>
      </c>
      <c r="BQ360" s="2" t="s">
        <v>3083</v>
      </c>
    </row>
    <row r="361" spans="1:69" ht="216" x14ac:dyDescent="0.45">
      <c r="A361" s="5">
        <v>360</v>
      </c>
      <c r="B361" s="8" t="s">
        <v>1526</v>
      </c>
      <c r="C361" s="6" t="s">
        <v>6851</v>
      </c>
      <c r="D361" s="7" t="s">
        <v>9794</v>
      </c>
      <c r="E361" s="1" t="s">
        <v>250</v>
      </c>
      <c r="F361" s="1"/>
      <c r="G361" s="1"/>
      <c r="J361" s="1" t="s">
        <v>9795</v>
      </c>
      <c r="K361" s="2" t="s">
        <v>7638</v>
      </c>
      <c r="L361" s="4" t="s">
        <v>8297</v>
      </c>
      <c r="M361" s="1" t="s">
        <v>12183</v>
      </c>
      <c r="P361" s="7" t="s">
        <v>1241</v>
      </c>
      <c r="Q361" s="14" t="str">
        <f>INDEX($L:$L, MATCH("found", $B:$B, 0))</f>
        <v>&lt;span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v>
      </c>
      <c r="R361" s="14" t="str">
        <f>INDEX($L:$L, MATCH("fundamental", $B:$B, 0))</f>
        <v>&lt;span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v>
      </c>
      <c r="S361" s="13" t="str">
        <f>INDEX($L:$L, MATCH("profound", $B:$B, 0))</f>
        <v>&lt;span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v>
      </c>
      <c r="AU361" s="15"/>
      <c r="AV361" s="1" t="s">
        <v>1502</v>
      </c>
      <c r="BG361" s="7" t="s">
        <v>1503</v>
      </c>
      <c r="BH361" s="1" t="s">
        <v>2780</v>
      </c>
      <c r="BI361" s="2" t="s">
        <v>3084</v>
      </c>
      <c r="BJ361" s="1" t="s">
        <v>1959</v>
      </c>
      <c r="BK361" s="2" t="s">
        <v>7639</v>
      </c>
      <c r="BL361" s="1" t="s">
        <v>1865</v>
      </c>
      <c r="BM361" s="2" t="s">
        <v>3085</v>
      </c>
    </row>
    <row r="362" spans="1:69" ht="108" x14ac:dyDescent="0.45">
      <c r="A362" s="5">
        <v>361</v>
      </c>
      <c r="B362" s="8" t="s">
        <v>251</v>
      </c>
      <c r="C362" s="6" t="s">
        <v>6851</v>
      </c>
      <c r="D362" s="7" t="s">
        <v>9794</v>
      </c>
      <c r="E362" s="6" t="s">
        <v>251</v>
      </c>
      <c r="F362" s="1"/>
      <c r="G362" s="1"/>
      <c r="J362" s="1" t="s">
        <v>9795</v>
      </c>
      <c r="K362" s="2" t="s">
        <v>7640</v>
      </c>
      <c r="L362" s="9" t="s">
        <v>8298</v>
      </c>
      <c r="P362" s="7" t="s">
        <v>1241</v>
      </c>
      <c r="Q362" s="13" t="str">
        <f>INDEX($L:$L, MATCH("weave", $B:$B, 0))</f>
        <v>&lt;span class="w"&gt;&lt;b&gt;【1437.weave：〜を織る, （物語や計画など）を作る】&lt;/b&gt;&lt;/span&gt;
&lt;span class="ml"&gt;古英語wefan（糸を交差させて形作る, 織物を織る, 考案する）にさかのぼる。
&lt;span class="spacer"&gt;&lt;/span&gt;物理的な「織る」だけではなく、比喩的に編み物のように物語や計画を「作る」という意味にもなる。
&lt;span class="spacer"&gt;&lt;/span&gt;weaveは、web（クモの巣, インターネットのウェブ）と同じ印欧祖語にさかのぼるため、関連させて覚えるとよい。&lt;/span&gt;</v>
      </c>
      <c r="AU362" s="15"/>
      <c r="AV362" s="1" t="s">
        <v>1502</v>
      </c>
      <c r="BG362" s="7" t="s">
        <v>1503</v>
      </c>
      <c r="BH362" s="1" t="s">
        <v>2569</v>
      </c>
      <c r="BI362" s="2" t="s">
        <v>3086</v>
      </c>
      <c r="BJ362" s="1" t="s">
        <v>2648</v>
      </c>
      <c r="BK362" s="2" t="s">
        <v>7641</v>
      </c>
      <c r="BL362" s="1" t="s">
        <v>1863</v>
      </c>
      <c r="BM362" s="2" t="s">
        <v>3087</v>
      </c>
    </row>
    <row r="363" spans="1:69" ht="144" x14ac:dyDescent="0.45">
      <c r="A363" s="5">
        <v>362</v>
      </c>
      <c r="B363" s="8" t="s">
        <v>252</v>
      </c>
      <c r="C363" s="6" t="s">
        <v>6851</v>
      </c>
      <c r="D363" s="7" t="s">
        <v>9794</v>
      </c>
      <c r="E363" s="6" t="s">
        <v>1498</v>
      </c>
      <c r="F363" s="1" t="s">
        <v>1499</v>
      </c>
      <c r="G363" s="1"/>
      <c r="J363" s="1" t="s">
        <v>9795</v>
      </c>
      <c r="K363" s="2" t="s">
        <v>7642</v>
      </c>
      <c r="L363" s="9" t="s">
        <v>8299</v>
      </c>
      <c r="P363" s="7" t="s">
        <v>1241</v>
      </c>
      <c r="AU363" s="15"/>
      <c r="AV363" s="1" t="s">
        <v>1502</v>
      </c>
      <c r="BG363" s="7" t="s">
        <v>1503</v>
      </c>
      <c r="BH363" s="1" t="s">
        <v>2423</v>
      </c>
      <c r="BI363" s="2" t="s">
        <v>7643</v>
      </c>
      <c r="BJ363" s="1" t="s">
        <v>2147</v>
      </c>
      <c r="BK363" s="1" t="s">
        <v>3088</v>
      </c>
      <c r="BL363" s="1" t="s">
        <v>1863</v>
      </c>
      <c r="BM363" s="2" t="s">
        <v>3089</v>
      </c>
      <c r="BN363" s="1" t="s">
        <v>1865</v>
      </c>
      <c r="BO363" s="2" t="s">
        <v>3090</v>
      </c>
    </row>
    <row r="364" spans="1:69" ht="144" x14ac:dyDescent="0.45">
      <c r="A364" s="5">
        <v>363</v>
      </c>
      <c r="B364" s="8" t="s">
        <v>1603</v>
      </c>
      <c r="C364" s="6" t="s">
        <v>6851</v>
      </c>
      <c r="D364" s="7" t="s">
        <v>9794</v>
      </c>
      <c r="E364" s="1" t="s">
        <v>1500</v>
      </c>
      <c r="F364" s="1" t="s">
        <v>1501</v>
      </c>
      <c r="G364" s="1"/>
      <c r="J364" s="1" t="s">
        <v>9795</v>
      </c>
      <c r="K364" s="2" t="s">
        <v>7644</v>
      </c>
      <c r="L364" s="3" t="s">
        <v>8300</v>
      </c>
      <c r="P364" s="7" t="s">
        <v>1241</v>
      </c>
      <c r="AU364" s="15"/>
      <c r="AV364" s="1" t="s">
        <v>1502</v>
      </c>
      <c r="BG364" s="7" t="s">
        <v>1503</v>
      </c>
      <c r="BH364" s="1" t="s">
        <v>2423</v>
      </c>
      <c r="BI364" s="2" t="s">
        <v>7645</v>
      </c>
      <c r="BJ364" s="1" t="s">
        <v>1980</v>
      </c>
      <c r="BK364" s="1" t="s">
        <v>3091</v>
      </c>
      <c r="BL364" s="1" t="s">
        <v>1865</v>
      </c>
      <c r="BM364" s="2" t="s">
        <v>3092</v>
      </c>
    </row>
    <row r="365" spans="1:69" ht="234" x14ac:dyDescent="0.45">
      <c r="A365" s="5">
        <v>364</v>
      </c>
      <c r="B365" s="8" t="s">
        <v>1604</v>
      </c>
      <c r="C365" s="6" t="s">
        <v>6851</v>
      </c>
      <c r="D365" s="7" t="s">
        <v>9794</v>
      </c>
      <c r="E365" s="6" t="s">
        <v>6203</v>
      </c>
      <c r="F365" s="1" t="s">
        <v>1584</v>
      </c>
      <c r="G365" s="1"/>
      <c r="J365" s="1" t="s">
        <v>9795</v>
      </c>
      <c r="K365" s="2" t="s">
        <v>7646</v>
      </c>
      <c r="L365" s="4" t="s">
        <v>8301</v>
      </c>
      <c r="M365" s="1" t="s">
        <v>12240</v>
      </c>
      <c r="P365" s="7" t="s">
        <v>1241</v>
      </c>
      <c r="Q365" s="1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365" s="1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365" s="1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365" s="1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365" s="1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365"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W365" s="14"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X365" s="1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365"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365"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365" s="15"/>
      <c r="AV365" s="1" t="s">
        <v>1502</v>
      </c>
      <c r="BG365" s="7" t="s">
        <v>1503</v>
      </c>
      <c r="BH365" s="1" t="s">
        <v>2780</v>
      </c>
      <c r="BI365" s="2" t="s">
        <v>7647</v>
      </c>
      <c r="BJ365" s="1" t="s">
        <v>1980</v>
      </c>
      <c r="BK365" s="2" t="s">
        <v>7648</v>
      </c>
      <c r="BL365" s="1" t="s">
        <v>2031</v>
      </c>
      <c r="BM365" s="1" t="s">
        <v>3093</v>
      </c>
      <c r="BN365" s="1" t="s">
        <v>1865</v>
      </c>
      <c r="BO365" s="2" t="s">
        <v>3094</v>
      </c>
    </row>
    <row r="366" spans="1:69" ht="409.6" x14ac:dyDescent="0.45">
      <c r="A366" s="5">
        <v>365</v>
      </c>
      <c r="B366" s="8" t="s">
        <v>1527</v>
      </c>
      <c r="C366" s="6" t="s">
        <v>6851</v>
      </c>
      <c r="D366" s="7" t="s">
        <v>9794</v>
      </c>
      <c r="E366" s="1" t="s">
        <v>1325</v>
      </c>
      <c r="F366" s="1" t="s">
        <v>4769</v>
      </c>
      <c r="G366" s="1" t="s">
        <v>1528</v>
      </c>
      <c r="J366" s="1" t="s">
        <v>9795</v>
      </c>
      <c r="K366" s="2" t="s">
        <v>7313</v>
      </c>
      <c r="L366" s="3" t="s">
        <v>8302</v>
      </c>
      <c r="M366" s="1" t="s">
        <v>12189</v>
      </c>
      <c r="P366" s="7" t="s">
        <v>1241</v>
      </c>
      <c r="Q366" s="1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366" s="1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366" s="1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366" s="1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366" s="1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V366" s="1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366" s="1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366" s="1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366" s="1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366" s="1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366" s="15"/>
      <c r="AV366" s="1" t="s">
        <v>1502</v>
      </c>
      <c r="BG366" s="7" t="s">
        <v>1503</v>
      </c>
      <c r="BH366" s="1" t="s">
        <v>2780</v>
      </c>
      <c r="BI366" s="2" t="s">
        <v>3095</v>
      </c>
      <c r="BJ366" s="1" t="s">
        <v>1980</v>
      </c>
      <c r="BK366" s="2" t="s">
        <v>3096</v>
      </c>
      <c r="BL366" s="1" t="s">
        <v>2031</v>
      </c>
      <c r="BM366" s="2" t="s">
        <v>3097</v>
      </c>
      <c r="BN366" s="1" t="s">
        <v>3047</v>
      </c>
      <c r="BO366" s="2" t="s">
        <v>3098</v>
      </c>
    </row>
    <row r="367" spans="1:69" ht="144" x14ac:dyDescent="0.45">
      <c r="A367" s="5">
        <v>366</v>
      </c>
      <c r="B367" s="8" t="s">
        <v>253</v>
      </c>
      <c r="C367" s="6" t="s">
        <v>6851</v>
      </c>
      <c r="D367" s="7" t="s">
        <v>9794</v>
      </c>
      <c r="E367" s="1" t="s">
        <v>253</v>
      </c>
      <c r="F367" s="1"/>
      <c r="G367" s="1"/>
      <c r="J367" s="1" t="s">
        <v>9795</v>
      </c>
      <c r="K367" s="2" t="s">
        <v>7649</v>
      </c>
      <c r="L367" s="3" t="s">
        <v>8303</v>
      </c>
      <c r="P367" s="7" t="s">
        <v>1241</v>
      </c>
      <c r="Q367" s="13" t="str">
        <f>INDEX($L:$L, MATCH("criticize", $B:$B, 0))</f>
        <v>&lt;span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v>
      </c>
      <c r="R367" s="13" t="str">
        <f>INDEX($L:$L, MATCH("criterion", $B:$B, 0))</f>
        <v>&lt;span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v>
      </c>
      <c r="AV367" s="1" t="s">
        <v>1502</v>
      </c>
      <c r="BG367" s="7" t="s">
        <v>1503</v>
      </c>
      <c r="BH367" s="1" t="s">
        <v>2569</v>
      </c>
      <c r="BI367" s="1" t="s">
        <v>1977</v>
      </c>
      <c r="BJ367" s="1" t="s">
        <v>2423</v>
      </c>
      <c r="BK367" s="2" t="s">
        <v>7650</v>
      </c>
      <c r="BL367" s="1" t="s">
        <v>1863</v>
      </c>
      <c r="BM367" s="2" t="s">
        <v>3099</v>
      </c>
      <c r="BN367" s="1" t="s">
        <v>1865</v>
      </c>
      <c r="BO367" s="2" t="s">
        <v>7651</v>
      </c>
    </row>
    <row r="368" spans="1:69" ht="216" x14ac:dyDescent="0.45">
      <c r="A368" s="5">
        <v>367</v>
      </c>
      <c r="B368" s="8" t="s">
        <v>254</v>
      </c>
      <c r="C368" s="6" t="s">
        <v>6851</v>
      </c>
      <c r="D368" s="7" t="s">
        <v>9794</v>
      </c>
      <c r="E368" s="1" t="s">
        <v>1505</v>
      </c>
      <c r="F368" s="1" t="s">
        <v>1506</v>
      </c>
      <c r="G368" s="1"/>
      <c r="J368" s="1" t="s">
        <v>9795</v>
      </c>
      <c r="K368" s="2" t="s">
        <v>7652</v>
      </c>
      <c r="L368" s="3" t="s">
        <v>8304</v>
      </c>
      <c r="P368" s="7" t="s">
        <v>1241</v>
      </c>
      <c r="Q368" s="14" t="str">
        <f>INDEX($L:$L, MATCH("asteroid", $B:$B, 0))</f>
        <v>&lt;span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v>
      </c>
      <c r="AV368" s="1" t="s">
        <v>1502</v>
      </c>
      <c r="BG368" s="7" t="s">
        <v>1503</v>
      </c>
      <c r="BH368" s="1" t="s">
        <v>2423</v>
      </c>
      <c r="BI368" s="1" t="s">
        <v>3100</v>
      </c>
      <c r="BJ368" s="1" t="s">
        <v>2780</v>
      </c>
      <c r="BK368" s="1" t="s">
        <v>3101</v>
      </c>
      <c r="BL368" s="1" t="s">
        <v>2616</v>
      </c>
      <c r="BM368" s="2" t="s">
        <v>7653</v>
      </c>
      <c r="BN368" s="1" t="s">
        <v>2519</v>
      </c>
      <c r="BO368" s="1" t="s">
        <v>3102</v>
      </c>
      <c r="BP368" s="1" t="s">
        <v>1865</v>
      </c>
      <c r="BQ368" s="2" t="s">
        <v>3103</v>
      </c>
    </row>
    <row r="369" spans="1:69" ht="234" x14ac:dyDescent="0.45">
      <c r="A369" s="5">
        <v>368</v>
      </c>
      <c r="B369" s="8" t="s">
        <v>1529</v>
      </c>
      <c r="C369" s="6" t="s">
        <v>6851</v>
      </c>
      <c r="D369" s="7" t="s">
        <v>9794</v>
      </c>
      <c r="E369" s="1" t="s">
        <v>1668</v>
      </c>
      <c r="F369" s="1" t="s">
        <v>1525</v>
      </c>
      <c r="G369" s="1"/>
      <c r="J369" s="1" t="s">
        <v>9795</v>
      </c>
      <c r="K369" s="2" t="s">
        <v>7654</v>
      </c>
      <c r="L369" s="4" t="s">
        <v>8305</v>
      </c>
      <c r="M369" s="1" t="s">
        <v>12248</v>
      </c>
      <c r="P369" s="7" t="s">
        <v>1241</v>
      </c>
      <c r="Q369" s="14"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369" s="14"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S369" s="1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T369" s="14"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U369" s="14"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369" s="14"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AU369" s="15"/>
      <c r="AV369" s="1" t="s">
        <v>1502</v>
      </c>
      <c r="BG369" s="7" t="s">
        <v>1503</v>
      </c>
      <c r="BH369" s="1" t="s">
        <v>2780</v>
      </c>
      <c r="BI369" s="2" t="s">
        <v>3104</v>
      </c>
      <c r="BJ369" s="1" t="s">
        <v>1980</v>
      </c>
      <c r="BK369" s="2" t="s">
        <v>3105</v>
      </c>
      <c r="BL369" s="1" t="s">
        <v>1863</v>
      </c>
      <c r="BM369" s="2" t="s">
        <v>3106</v>
      </c>
      <c r="BN369" s="1" t="s">
        <v>1865</v>
      </c>
      <c r="BO369" s="2" t="s">
        <v>3107</v>
      </c>
    </row>
    <row r="370" spans="1:69" ht="234" x14ac:dyDescent="0.45">
      <c r="A370" s="5">
        <v>369</v>
      </c>
      <c r="B370" s="8" t="s">
        <v>255</v>
      </c>
      <c r="C370" s="6" t="s">
        <v>6851</v>
      </c>
      <c r="D370" s="7" t="s">
        <v>9794</v>
      </c>
      <c r="E370" s="1" t="s">
        <v>1507</v>
      </c>
      <c r="F370" s="1" t="s">
        <v>1508</v>
      </c>
      <c r="G370" s="1"/>
      <c r="J370" s="1" t="s">
        <v>9795</v>
      </c>
      <c r="K370" s="2" t="s">
        <v>7655</v>
      </c>
      <c r="L370" s="9" t="s">
        <v>8306</v>
      </c>
      <c r="P370" s="7" t="s">
        <v>1241</v>
      </c>
      <c r="AV370" s="1" t="s">
        <v>1502</v>
      </c>
      <c r="BG370" s="7" t="s">
        <v>1503</v>
      </c>
      <c r="BH370" s="1" t="s">
        <v>2423</v>
      </c>
      <c r="BI370" s="1" t="s">
        <v>7656</v>
      </c>
      <c r="BJ370" s="1" t="s">
        <v>2162</v>
      </c>
      <c r="BK370" s="1" t="s">
        <v>7657</v>
      </c>
      <c r="BL370" s="1" t="s">
        <v>1865</v>
      </c>
      <c r="BM370" s="2" t="s">
        <v>7658</v>
      </c>
    </row>
    <row r="371" spans="1:69" ht="396" x14ac:dyDescent="0.45">
      <c r="A371" s="5">
        <v>370</v>
      </c>
      <c r="B371" s="8" t="s">
        <v>1530</v>
      </c>
      <c r="C371" s="6" t="s">
        <v>6851</v>
      </c>
      <c r="D371" s="7" t="s">
        <v>9794</v>
      </c>
      <c r="E371" s="1" t="s">
        <v>256</v>
      </c>
      <c r="F371" s="1"/>
      <c r="G371" s="1"/>
      <c r="J371" s="1" t="s">
        <v>9795</v>
      </c>
      <c r="K371" s="2" t="s">
        <v>7659</v>
      </c>
      <c r="L371" s="4" t="s">
        <v>8307</v>
      </c>
      <c r="M371" s="1" t="s">
        <v>12200</v>
      </c>
      <c r="P371" s="7" t="s">
        <v>1241</v>
      </c>
      <c r="Q371" s="14"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371" s="14"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371" s="14"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371" s="14"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U371" s="14"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V371" s="14"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371" s="14"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371" s="14"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371" s="1" t="s">
        <v>1502</v>
      </c>
      <c r="BG371" s="7" t="s">
        <v>1503</v>
      </c>
      <c r="BH371" s="1" t="s">
        <v>2569</v>
      </c>
      <c r="BI371" s="1" t="s">
        <v>3108</v>
      </c>
      <c r="BJ371" s="1" t="s">
        <v>2780</v>
      </c>
      <c r="BK371" s="2" t="s">
        <v>3109</v>
      </c>
      <c r="BL371" s="1" t="s">
        <v>2031</v>
      </c>
      <c r="BM371" s="1" t="s">
        <v>3110</v>
      </c>
      <c r="BN371" s="1" t="s">
        <v>1863</v>
      </c>
      <c r="BO371" s="2" t="s">
        <v>3111</v>
      </c>
      <c r="BP371" s="1" t="s">
        <v>1860</v>
      </c>
      <c r="BQ371" s="2" t="s">
        <v>3112</v>
      </c>
    </row>
    <row r="372" spans="1:69" ht="216" x14ac:dyDescent="0.45">
      <c r="A372" s="5">
        <v>371</v>
      </c>
      <c r="B372" s="8" t="s">
        <v>1605</v>
      </c>
      <c r="C372" s="6" t="s">
        <v>6851</v>
      </c>
      <c r="D372" s="7" t="s">
        <v>9794</v>
      </c>
      <c r="E372" s="1" t="s">
        <v>1509</v>
      </c>
      <c r="F372" s="1" t="s">
        <v>1510</v>
      </c>
      <c r="G372" s="1"/>
      <c r="J372" s="1" t="s">
        <v>9795</v>
      </c>
      <c r="K372" s="2" t="s">
        <v>7660</v>
      </c>
      <c r="L372" s="9" t="s">
        <v>8308</v>
      </c>
      <c r="P372" s="7" t="s">
        <v>1241</v>
      </c>
      <c r="Q372" s="13" t="str">
        <f>INDEX($L:$L, MATCH("accustom", $B:$B, 0))</f>
        <v>&lt;span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v>
      </c>
      <c r="AU372" s="15"/>
      <c r="AV372" s="1" t="s">
        <v>1502</v>
      </c>
      <c r="BG372" s="7" t="s">
        <v>1503</v>
      </c>
      <c r="BH372" s="1" t="s">
        <v>2780</v>
      </c>
      <c r="BI372" s="2" t="s">
        <v>3113</v>
      </c>
      <c r="BJ372" s="1" t="s">
        <v>2048</v>
      </c>
      <c r="BK372" s="1" t="s">
        <v>3114</v>
      </c>
      <c r="BL372" s="1" t="s">
        <v>2031</v>
      </c>
      <c r="BM372" s="2" t="s">
        <v>3115</v>
      </c>
      <c r="BN372" s="1" t="s">
        <v>3047</v>
      </c>
      <c r="BO372" s="2" t="s">
        <v>3116</v>
      </c>
    </row>
    <row r="373" spans="1:69" ht="198" x14ac:dyDescent="0.45">
      <c r="A373" s="5">
        <v>372</v>
      </c>
      <c r="B373" s="8" t="s">
        <v>257</v>
      </c>
      <c r="C373" s="6" t="s">
        <v>6851</v>
      </c>
      <c r="D373" s="7" t="s">
        <v>9794</v>
      </c>
      <c r="E373" s="6" t="s">
        <v>257</v>
      </c>
      <c r="F373" s="1"/>
      <c r="G373" s="1"/>
      <c r="J373" s="1" t="s">
        <v>9795</v>
      </c>
      <c r="K373" s="2" t="s">
        <v>7661</v>
      </c>
      <c r="L373" s="9" t="s">
        <v>8309</v>
      </c>
      <c r="P373" s="7" t="s">
        <v>1241</v>
      </c>
      <c r="AU373" s="15"/>
      <c r="AV373" s="1" t="s">
        <v>1502</v>
      </c>
      <c r="BG373" s="7" t="s">
        <v>1503</v>
      </c>
      <c r="BH373" s="1" t="s">
        <v>2780</v>
      </c>
      <c r="BI373" s="2" t="s">
        <v>7662</v>
      </c>
      <c r="BJ373" s="1" t="s">
        <v>2031</v>
      </c>
      <c r="BK373" s="1" t="s">
        <v>3117</v>
      </c>
      <c r="BL373" s="1" t="s">
        <v>3118</v>
      </c>
      <c r="BM373" s="2" t="s">
        <v>3119</v>
      </c>
    </row>
    <row r="374" spans="1:69" ht="234" x14ac:dyDescent="0.45">
      <c r="A374" s="5">
        <v>373</v>
      </c>
      <c r="B374" s="8" t="s">
        <v>258</v>
      </c>
      <c r="C374" s="6" t="s">
        <v>6851</v>
      </c>
      <c r="D374" s="7" t="s">
        <v>9794</v>
      </c>
      <c r="E374" s="1" t="s">
        <v>1327</v>
      </c>
      <c r="F374" s="1" t="s">
        <v>1511</v>
      </c>
      <c r="G374" s="1"/>
      <c r="J374" s="1" t="s">
        <v>9795</v>
      </c>
      <c r="K374" s="2" t="s">
        <v>7663</v>
      </c>
      <c r="L374" s="9" t="s">
        <v>8310</v>
      </c>
      <c r="P374" s="7" t="s">
        <v>1241</v>
      </c>
      <c r="Q374" s="14"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R374" s="15"/>
      <c r="AU374" s="15"/>
      <c r="AV374" s="1" t="s">
        <v>1502</v>
      </c>
      <c r="BG374" s="7" t="s">
        <v>1503</v>
      </c>
      <c r="BH374" s="1" t="s">
        <v>2780</v>
      </c>
      <c r="BI374" s="2" t="s">
        <v>3120</v>
      </c>
      <c r="BJ374" s="1" t="s">
        <v>2147</v>
      </c>
      <c r="BK374" s="2" t="s">
        <v>3121</v>
      </c>
      <c r="BL374" s="1" t="s">
        <v>2031</v>
      </c>
      <c r="BM374" s="2" t="s">
        <v>3122</v>
      </c>
      <c r="BN374" s="1" t="s">
        <v>3047</v>
      </c>
      <c r="BO374" s="2" t="s">
        <v>3123</v>
      </c>
    </row>
    <row r="375" spans="1:69" ht="162" x14ac:dyDescent="0.45">
      <c r="A375" s="5">
        <v>374</v>
      </c>
      <c r="B375" s="8" t="s">
        <v>259</v>
      </c>
      <c r="C375" s="6" t="s">
        <v>6851</v>
      </c>
      <c r="D375" s="7" t="s">
        <v>9794</v>
      </c>
      <c r="E375" s="1" t="s">
        <v>259</v>
      </c>
      <c r="F375" s="1"/>
      <c r="G375" s="1"/>
      <c r="J375" s="1" t="s">
        <v>9795</v>
      </c>
      <c r="K375" s="2" t="s">
        <v>7664</v>
      </c>
      <c r="L375" s="9" t="s">
        <v>8311</v>
      </c>
      <c r="P375" s="7" t="s">
        <v>1241</v>
      </c>
      <c r="AU375" s="15"/>
      <c r="AV375" s="1" t="s">
        <v>1502</v>
      </c>
      <c r="BG375" s="7" t="s">
        <v>1503</v>
      </c>
      <c r="BH375" s="1" t="s">
        <v>2031</v>
      </c>
      <c r="BI375" s="2" t="s">
        <v>7665</v>
      </c>
      <c r="BJ375" s="1" t="s">
        <v>1869</v>
      </c>
      <c r="BK375" s="2" t="s">
        <v>3124</v>
      </c>
      <c r="BL375" s="1" t="s">
        <v>3047</v>
      </c>
      <c r="BM375" s="2" t="s">
        <v>3125</v>
      </c>
    </row>
    <row r="376" spans="1:69" ht="198" x14ac:dyDescent="0.45">
      <c r="A376" s="5">
        <v>375</v>
      </c>
      <c r="B376" s="8" t="s">
        <v>1531</v>
      </c>
      <c r="C376" s="6" t="s">
        <v>6851</v>
      </c>
      <c r="D376" s="7" t="s">
        <v>9794</v>
      </c>
      <c r="E376" s="1" t="s">
        <v>1532</v>
      </c>
      <c r="F376" s="1" t="s">
        <v>8910</v>
      </c>
      <c r="G376" s="1" t="s">
        <v>1525</v>
      </c>
      <c r="J376" s="1" t="s">
        <v>9795</v>
      </c>
      <c r="K376" s="2" t="s">
        <v>7666</v>
      </c>
      <c r="L376" s="4" t="s">
        <v>8312</v>
      </c>
      <c r="M376" s="1" t="s">
        <v>12196</v>
      </c>
      <c r="P376" s="7" t="s">
        <v>1241</v>
      </c>
      <c r="Q376" s="14" t="str">
        <f>INDEX($L:$L, MATCH("culture", $B:$B, 0))</f>
        <v>&lt;span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v>
      </c>
      <c r="R376" s="14" t="str">
        <f>INDEX($L:$L, MATCH("colony", $B:$B, 0))</f>
        <v>&lt;span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v>
      </c>
      <c r="S376" s="13" t="str">
        <f>INDEX($L:$L, MATCH("cultivate", $B:$B, 0))</f>
        <v>&lt;span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v>
      </c>
      <c r="AU376" s="15"/>
      <c r="AV376" s="1" t="s">
        <v>1502</v>
      </c>
      <c r="BG376" s="7" t="s">
        <v>1503</v>
      </c>
      <c r="BH376" s="1" t="s">
        <v>2780</v>
      </c>
      <c r="BI376" s="2" t="s">
        <v>7667</v>
      </c>
      <c r="BJ376" s="1" t="s">
        <v>2324</v>
      </c>
      <c r="BK376" s="2" t="s">
        <v>7668</v>
      </c>
      <c r="BL376" s="1" t="s">
        <v>3047</v>
      </c>
      <c r="BM376" s="2" t="s">
        <v>3126</v>
      </c>
    </row>
    <row r="377" spans="1:69" ht="144" x14ac:dyDescent="0.45">
      <c r="A377" s="5">
        <v>376</v>
      </c>
      <c r="B377" s="8" t="s">
        <v>1606</v>
      </c>
      <c r="C377" s="6" t="s">
        <v>6851</v>
      </c>
      <c r="D377" s="7" t="s">
        <v>9794</v>
      </c>
      <c r="E377" s="6" t="s">
        <v>8976</v>
      </c>
      <c r="F377" s="1" t="s">
        <v>1607</v>
      </c>
      <c r="G377" s="1"/>
      <c r="J377" s="1" t="s">
        <v>9795</v>
      </c>
      <c r="K377" s="2"/>
      <c r="L377" s="2" t="s">
        <v>8313</v>
      </c>
      <c r="P377" s="7" t="s">
        <v>1241</v>
      </c>
      <c r="AU377" s="15"/>
      <c r="AV377" s="1" t="s">
        <v>1502</v>
      </c>
      <c r="BG377" s="7" t="s">
        <v>1503</v>
      </c>
      <c r="BH377" s="1" t="s">
        <v>2780</v>
      </c>
      <c r="BI377" s="2" t="s">
        <v>3127</v>
      </c>
      <c r="BJ377" s="1" t="s">
        <v>2519</v>
      </c>
      <c r="BK377" s="2" t="s">
        <v>3128</v>
      </c>
      <c r="BL377" s="1" t="s">
        <v>1865</v>
      </c>
      <c r="BM377" s="2" t="s">
        <v>3129</v>
      </c>
    </row>
    <row r="378" spans="1:69" ht="126" x14ac:dyDescent="0.45">
      <c r="A378" s="5">
        <v>377</v>
      </c>
      <c r="B378" s="8" t="s">
        <v>1608</v>
      </c>
      <c r="C378" s="6" t="s">
        <v>6851</v>
      </c>
      <c r="D378" s="7" t="s">
        <v>9794</v>
      </c>
      <c r="E378" s="6" t="s">
        <v>8977</v>
      </c>
      <c r="F378" s="1" t="s">
        <v>1517</v>
      </c>
      <c r="G378" s="1"/>
      <c r="J378" s="1" t="s">
        <v>9795</v>
      </c>
      <c r="K378" s="2" t="s">
        <v>7669</v>
      </c>
      <c r="L378" s="9" t="s">
        <v>8314</v>
      </c>
      <c r="P378" s="7" t="s">
        <v>1241</v>
      </c>
      <c r="AU378" s="15"/>
      <c r="AV378" s="1" t="s">
        <v>1502</v>
      </c>
      <c r="BG378" s="7" t="s">
        <v>1503</v>
      </c>
      <c r="BH378" s="1" t="s">
        <v>2780</v>
      </c>
      <c r="BI378" s="2" t="s">
        <v>7670</v>
      </c>
      <c r="BJ378" s="1" t="s">
        <v>1980</v>
      </c>
      <c r="BK378" s="2" t="s">
        <v>3130</v>
      </c>
      <c r="BL378" s="1" t="s">
        <v>2031</v>
      </c>
      <c r="BM378" s="2" t="s">
        <v>3131</v>
      </c>
      <c r="BN378" s="1" t="s">
        <v>3047</v>
      </c>
      <c r="BO378" s="2" t="s">
        <v>3132</v>
      </c>
      <c r="BP378" s="1" t="s">
        <v>1865</v>
      </c>
      <c r="BQ378" s="2" t="s">
        <v>3133</v>
      </c>
    </row>
    <row r="379" spans="1:69" ht="180" x14ac:dyDescent="0.45">
      <c r="A379" s="5">
        <v>378</v>
      </c>
      <c r="B379" s="8" t="s">
        <v>1609</v>
      </c>
      <c r="C379" s="6" t="s">
        <v>6851</v>
      </c>
      <c r="D379" s="7" t="s">
        <v>9794</v>
      </c>
      <c r="E379" s="6" t="s">
        <v>8978</v>
      </c>
      <c r="F379" s="1" t="s">
        <v>8979</v>
      </c>
      <c r="G379" s="1" t="s">
        <v>1541</v>
      </c>
      <c r="J379" s="1" t="s">
        <v>9795</v>
      </c>
      <c r="K379" s="2" t="s">
        <v>7671</v>
      </c>
      <c r="L379" s="9" t="s">
        <v>8315</v>
      </c>
      <c r="M379" s="1" t="s">
        <v>12254</v>
      </c>
      <c r="P379" s="7" t="s">
        <v>1241</v>
      </c>
      <c r="Q379" s="14" t="str">
        <f>INDEX($L:$L, MATCH("advocate", $B:$B, 0))</f>
        <v>&lt;span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v>
      </c>
      <c r="R379" s="13" t="str">
        <f>INDEX($L:$L, MATCH("vocal", $B:$B, 0))</f>
        <v>&lt;span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v>
      </c>
      <c r="AU379" s="15"/>
      <c r="AV379" s="1" t="s">
        <v>1502</v>
      </c>
      <c r="BG379" s="7" t="s">
        <v>1503</v>
      </c>
      <c r="BH379" s="1" t="s">
        <v>2780</v>
      </c>
      <c r="BI379" s="2" t="s">
        <v>7672</v>
      </c>
      <c r="BJ379" s="1" t="s">
        <v>1980</v>
      </c>
      <c r="BK379" s="2" t="s">
        <v>3134</v>
      </c>
      <c r="BL379" s="1" t="s">
        <v>1865</v>
      </c>
      <c r="BM379" s="2" t="s">
        <v>3135</v>
      </c>
    </row>
    <row r="380" spans="1:69" ht="234" x14ac:dyDescent="0.45">
      <c r="A380" s="5">
        <v>379</v>
      </c>
      <c r="B380" s="8" t="s">
        <v>1533</v>
      </c>
      <c r="C380" s="6" t="s">
        <v>6852</v>
      </c>
      <c r="D380" s="7" t="s">
        <v>9794</v>
      </c>
      <c r="E380" s="1" t="s">
        <v>1534</v>
      </c>
      <c r="F380" s="1" t="s">
        <v>1535</v>
      </c>
      <c r="G380" s="1"/>
      <c r="J380" s="1" t="s">
        <v>9795</v>
      </c>
      <c r="K380" s="2" t="s">
        <v>7673</v>
      </c>
      <c r="L380" s="4" t="s">
        <v>8316</v>
      </c>
      <c r="M380" s="1" t="s">
        <v>12248</v>
      </c>
      <c r="P380" s="7" t="s">
        <v>1241</v>
      </c>
      <c r="Q380" s="14"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380" s="14"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S380" s="1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T380" s="14"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U380" s="14"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380" s="14"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AU380" s="15"/>
      <c r="AV380" s="1" t="s">
        <v>1502</v>
      </c>
      <c r="BG380" s="7" t="s">
        <v>1503</v>
      </c>
      <c r="BH380" s="1" t="s">
        <v>2780</v>
      </c>
      <c r="BI380" s="2" t="s">
        <v>3136</v>
      </c>
      <c r="BJ380" s="1" t="s">
        <v>2419</v>
      </c>
      <c r="BK380" s="2" t="s">
        <v>3137</v>
      </c>
    </row>
    <row r="381" spans="1:69" ht="198" x14ac:dyDescent="0.45">
      <c r="A381" s="5">
        <v>380</v>
      </c>
      <c r="B381" s="8" t="s">
        <v>260</v>
      </c>
      <c r="C381" s="6" t="s">
        <v>6852</v>
      </c>
      <c r="D381" s="7" t="s">
        <v>9794</v>
      </c>
      <c r="E381" s="1" t="s">
        <v>46</v>
      </c>
      <c r="F381" s="1" t="s">
        <v>8980</v>
      </c>
      <c r="G381" s="1" t="s">
        <v>1548</v>
      </c>
      <c r="J381" s="1" t="s">
        <v>9795</v>
      </c>
      <c r="K381" s="2" t="s">
        <v>7674</v>
      </c>
      <c r="L381" s="2" t="s">
        <v>8317</v>
      </c>
      <c r="P381" s="7" t="s">
        <v>1241</v>
      </c>
      <c r="AU381" s="15"/>
      <c r="AV381" s="1" t="s">
        <v>1502</v>
      </c>
      <c r="BG381" s="7" t="s">
        <v>1503</v>
      </c>
      <c r="BH381" s="1" t="s">
        <v>2780</v>
      </c>
      <c r="BI381" s="2" t="s">
        <v>3138</v>
      </c>
      <c r="BJ381" s="1" t="s">
        <v>2419</v>
      </c>
      <c r="BK381" s="2" t="s">
        <v>7675</v>
      </c>
    </row>
    <row r="382" spans="1:69" ht="198" x14ac:dyDescent="0.45">
      <c r="A382" s="5">
        <v>381</v>
      </c>
      <c r="B382" s="8" t="s">
        <v>1536</v>
      </c>
      <c r="C382" s="6" t="s">
        <v>6852</v>
      </c>
      <c r="D382" s="7" t="s">
        <v>9794</v>
      </c>
      <c r="E382" s="1" t="s">
        <v>8981</v>
      </c>
      <c r="F382" s="1" t="s">
        <v>1456</v>
      </c>
      <c r="G382" s="1"/>
      <c r="J382" s="1" t="s">
        <v>9795</v>
      </c>
      <c r="K382" s="2" t="s">
        <v>7676</v>
      </c>
      <c r="L382" s="2" t="s">
        <v>8318</v>
      </c>
      <c r="M382" s="1" t="s">
        <v>12255</v>
      </c>
      <c r="P382" s="7" t="s">
        <v>1241</v>
      </c>
      <c r="Q382" s="1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382" s="14"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S382" s="14"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382" s="14"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U382" s="1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V382" s="1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382" s="15"/>
      <c r="X382" s="15"/>
      <c r="Y382" s="15"/>
      <c r="Z382" s="15"/>
      <c r="AA382" s="15"/>
      <c r="AB382" s="15"/>
      <c r="AC382" s="15"/>
      <c r="AD382" s="15"/>
      <c r="AE382" s="15"/>
      <c r="AF382" s="15"/>
      <c r="AG382" s="15"/>
      <c r="AU382" s="15"/>
      <c r="AV382" s="1" t="s">
        <v>1502</v>
      </c>
      <c r="BG382" s="7" t="s">
        <v>1503</v>
      </c>
      <c r="BH382" s="1" t="s">
        <v>2780</v>
      </c>
      <c r="BI382" s="2" t="s">
        <v>7677</v>
      </c>
      <c r="BJ382" s="1" t="s">
        <v>2324</v>
      </c>
      <c r="BK382" s="2" t="s">
        <v>3139</v>
      </c>
      <c r="BL382" s="1" t="s">
        <v>2017</v>
      </c>
      <c r="BM382" s="1" t="s">
        <v>3140</v>
      </c>
      <c r="BN382" s="1" t="s">
        <v>1865</v>
      </c>
      <c r="BO382" s="2" t="s">
        <v>3141</v>
      </c>
    </row>
    <row r="383" spans="1:69" ht="396" x14ac:dyDescent="0.45">
      <c r="A383" s="5">
        <v>382</v>
      </c>
      <c r="B383" s="8" t="s">
        <v>261</v>
      </c>
      <c r="C383" s="6" t="s">
        <v>6852</v>
      </c>
      <c r="D383" s="7" t="s">
        <v>9794</v>
      </c>
      <c r="E383" s="1" t="s">
        <v>1346</v>
      </c>
      <c r="F383" s="1" t="s">
        <v>1512</v>
      </c>
      <c r="G383" s="1"/>
      <c r="J383" s="1" t="s">
        <v>9795</v>
      </c>
      <c r="K383" s="2" t="s">
        <v>7678</v>
      </c>
      <c r="L383" s="2" t="s">
        <v>8319</v>
      </c>
      <c r="M383" s="1" t="s">
        <v>12256</v>
      </c>
      <c r="P383" s="7" t="s">
        <v>1241</v>
      </c>
      <c r="Q383" s="14"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383"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S383" s="14"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T383" s="14"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U383" s="13"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V383"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383" s="15"/>
      <c r="AV383" s="1" t="s">
        <v>1502</v>
      </c>
      <c r="BG383" s="7" t="s">
        <v>1503</v>
      </c>
      <c r="BH383" s="1" t="s">
        <v>2780</v>
      </c>
      <c r="BI383" s="2" t="s">
        <v>7679</v>
      </c>
      <c r="BJ383" s="1" t="s">
        <v>1865</v>
      </c>
      <c r="BK383" s="2" t="s">
        <v>3142</v>
      </c>
    </row>
    <row r="384" spans="1:69" ht="144" x14ac:dyDescent="0.45">
      <c r="A384" s="5">
        <v>383</v>
      </c>
      <c r="B384" s="8" t="s">
        <v>1513</v>
      </c>
      <c r="C384" s="6" t="s">
        <v>6852</v>
      </c>
      <c r="D384" s="7" t="s">
        <v>9794</v>
      </c>
      <c r="E384" s="1" t="s">
        <v>8982</v>
      </c>
      <c r="F384" s="1" t="s">
        <v>1517</v>
      </c>
      <c r="G384" s="1" t="s">
        <v>49</v>
      </c>
      <c r="J384" s="1" t="s">
        <v>9795</v>
      </c>
      <c r="K384" s="2" t="s">
        <v>7680</v>
      </c>
      <c r="L384" s="4" t="s">
        <v>8320</v>
      </c>
      <c r="M384" s="1" t="s">
        <v>12183</v>
      </c>
      <c r="P384" s="7" t="s">
        <v>1241</v>
      </c>
      <c r="Q384" s="14" t="str">
        <f>INDEX($L:$L, MATCH("found", $B:$B, 0))</f>
        <v>&lt;span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v>
      </c>
      <c r="R384" s="14" t="str">
        <f>INDEX($L:$L, MATCH("fund", $B:$B, 0))</f>
        <v>&lt;span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v>
      </c>
      <c r="S384" s="13" t="str">
        <f>INDEX($L:$L, MATCH("profound", $B:$B, 0))</f>
        <v>&lt;span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v>
      </c>
      <c r="AU384" s="15"/>
      <c r="AV384" s="1" t="s">
        <v>1502</v>
      </c>
      <c r="BG384" s="7" t="s">
        <v>1503</v>
      </c>
      <c r="BH384" s="1" t="s">
        <v>2780</v>
      </c>
      <c r="BI384" s="2" t="s">
        <v>7681</v>
      </c>
      <c r="BJ384" s="1" t="s">
        <v>3047</v>
      </c>
      <c r="BK384" s="2" t="s">
        <v>3143</v>
      </c>
      <c r="BL384" s="1" t="s">
        <v>1865</v>
      </c>
      <c r="BM384" s="2" t="s">
        <v>3144</v>
      </c>
    </row>
    <row r="385" spans="1:69" ht="162" x14ac:dyDescent="0.45">
      <c r="A385" s="5">
        <v>384</v>
      </c>
      <c r="B385" s="8" t="s">
        <v>262</v>
      </c>
      <c r="C385" s="6" t="s">
        <v>6852</v>
      </c>
      <c r="D385" s="7" t="s">
        <v>9794</v>
      </c>
      <c r="E385" s="1" t="s">
        <v>1514</v>
      </c>
      <c r="F385" s="1" t="s">
        <v>1515</v>
      </c>
      <c r="G385" s="1" t="s">
        <v>49</v>
      </c>
      <c r="J385" s="1" t="s">
        <v>9795</v>
      </c>
      <c r="K385" s="2" t="s">
        <v>7682</v>
      </c>
      <c r="L385" s="9" t="s">
        <v>8321</v>
      </c>
      <c r="P385" s="7" t="s">
        <v>1241</v>
      </c>
      <c r="Q385" s="13"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385" s="13"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385" s="13"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U385" s="15"/>
      <c r="AV385" s="1" t="s">
        <v>1502</v>
      </c>
      <c r="BG385" s="7" t="s">
        <v>1503</v>
      </c>
      <c r="BH385" s="1" t="s">
        <v>2780</v>
      </c>
      <c r="BI385" s="2" t="s">
        <v>7683</v>
      </c>
      <c r="BJ385" s="1" t="s">
        <v>2031</v>
      </c>
      <c r="BK385" s="1" t="s">
        <v>3145</v>
      </c>
      <c r="BL385" s="1" t="s">
        <v>1863</v>
      </c>
      <c r="BM385" s="2" t="s">
        <v>3146</v>
      </c>
      <c r="BN385" s="1" t="s">
        <v>1865</v>
      </c>
      <c r="BO385" s="2" t="s">
        <v>3147</v>
      </c>
    </row>
    <row r="386" spans="1:69" ht="72" x14ac:dyDescent="0.45">
      <c r="A386" s="5">
        <v>385</v>
      </c>
      <c r="B386" s="8" t="s">
        <v>263</v>
      </c>
      <c r="C386" s="6" t="s">
        <v>6852</v>
      </c>
      <c r="D386" s="7" t="s">
        <v>9794</v>
      </c>
      <c r="E386" s="6" t="s">
        <v>263</v>
      </c>
      <c r="F386" s="1"/>
      <c r="G386" s="1"/>
      <c r="J386" s="1" t="s">
        <v>9795</v>
      </c>
      <c r="K386" s="2" t="s">
        <v>7684</v>
      </c>
      <c r="L386" s="4" t="s">
        <v>8322</v>
      </c>
      <c r="P386" s="7" t="s">
        <v>1241</v>
      </c>
      <c r="Q386" s="13" t="str">
        <f>INDEX($L:$L, MATCH("confirm", $B:$B, 0))</f>
        <v>&lt;span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v>
      </c>
      <c r="AU386" s="15"/>
      <c r="AV386" s="1" t="s">
        <v>1502</v>
      </c>
      <c r="BG386" s="7" t="s">
        <v>1503</v>
      </c>
      <c r="BH386" s="1" t="s">
        <v>2780</v>
      </c>
      <c r="BI386" s="2" t="s">
        <v>3148</v>
      </c>
      <c r="BJ386" s="1" t="s">
        <v>2031</v>
      </c>
      <c r="BK386" s="1" t="s">
        <v>3149</v>
      </c>
      <c r="BL386" s="1" t="s">
        <v>3047</v>
      </c>
      <c r="BM386" s="2" t="s">
        <v>3150</v>
      </c>
      <c r="BN386" s="1" t="s">
        <v>1865</v>
      </c>
      <c r="BO386" s="2" t="s">
        <v>3151</v>
      </c>
    </row>
    <row r="387" spans="1:69" ht="72" x14ac:dyDescent="0.45">
      <c r="A387" s="5">
        <v>386</v>
      </c>
      <c r="B387" s="8" t="s">
        <v>264</v>
      </c>
      <c r="C387" s="6" t="s">
        <v>6852</v>
      </c>
      <c r="D387" s="7" t="s">
        <v>9794</v>
      </c>
      <c r="E387" s="1" t="s">
        <v>1537</v>
      </c>
      <c r="F387" s="1" t="s">
        <v>1538</v>
      </c>
      <c r="G387" s="1"/>
      <c r="J387" s="1" t="s">
        <v>9795</v>
      </c>
      <c r="K387" s="2"/>
      <c r="L387" s="9" t="s">
        <v>8323</v>
      </c>
      <c r="P387" s="7" t="s">
        <v>1241</v>
      </c>
      <c r="Q387" s="16" t="str">
        <f>INDEX($L:$L, MATCH("overseas", $B:$B, 0))</f>
        <v>&lt;span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v>
      </c>
      <c r="AU387" s="15"/>
      <c r="AV387" s="1" t="s">
        <v>1502</v>
      </c>
      <c r="BG387" s="7" t="s">
        <v>1503</v>
      </c>
      <c r="BH387" s="1" t="s">
        <v>2648</v>
      </c>
      <c r="BI387" s="2" t="s">
        <v>3152</v>
      </c>
      <c r="BJ387" s="1" t="s">
        <v>3047</v>
      </c>
      <c r="BK387" s="2" t="s">
        <v>3153</v>
      </c>
      <c r="BL387" s="1" t="s">
        <v>1865</v>
      </c>
      <c r="BM387" s="2" t="s">
        <v>3154</v>
      </c>
    </row>
    <row r="388" spans="1:69" ht="180" x14ac:dyDescent="0.45">
      <c r="A388" s="5">
        <v>387</v>
      </c>
      <c r="B388" s="8" t="s">
        <v>1539</v>
      </c>
      <c r="C388" s="6" t="s">
        <v>6852</v>
      </c>
      <c r="D388" s="7" t="s">
        <v>9794</v>
      </c>
      <c r="E388" s="1" t="s">
        <v>8983</v>
      </c>
      <c r="F388" s="1" t="s">
        <v>49</v>
      </c>
      <c r="G388" s="1"/>
      <c r="J388" s="1" t="s">
        <v>9795</v>
      </c>
      <c r="K388" s="2" t="s">
        <v>7685</v>
      </c>
      <c r="L388" s="4" t="s">
        <v>8324</v>
      </c>
      <c r="M388" s="1" t="s">
        <v>12245</v>
      </c>
      <c r="P388" s="7" t="s">
        <v>1241</v>
      </c>
      <c r="Q388" s="14" t="str">
        <f>INDEX($L:$L, MATCH("urban", $B:$B, 0))</f>
        <v>&lt;span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v>
      </c>
      <c r="AV388" s="1" t="s">
        <v>1502</v>
      </c>
      <c r="BG388" s="7" t="s">
        <v>1503</v>
      </c>
      <c r="BH388" s="1" t="s">
        <v>2569</v>
      </c>
      <c r="BI388" s="1" t="s">
        <v>3155</v>
      </c>
      <c r="BJ388" s="1" t="s">
        <v>2780</v>
      </c>
      <c r="BK388" s="2" t="s">
        <v>3156</v>
      </c>
      <c r="BL388" s="1" t="s">
        <v>2031</v>
      </c>
      <c r="BM388" s="1" t="s">
        <v>1539</v>
      </c>
      <c r="BN388" s="1" t="s">
        <v>3047</v>
      </c>
      <c r="BO388" s="2" t="s">
        <v>3157</v>
      </c>
      <c r="BP388" s="1" t="s">
        <v>1865</v>
      </c>
      <c r="BQ388" s="2" t="s">
        <v>3158</v>
      </c>
    </row>
    <row r="389" spans="1:69" ht="108" x14ac:dyDescent="0.45">
      <c r="A389" s="5">
        <v>388</v>
      </c>
      <c r="B389" s="8" t="s">
        <v>265</v>
      </c>
      <c r="C389" s="6" t="s">
        <v>6852</v>
      </c>
      <c r="D389" s="7" t="s">
        <v>9794</v>
      </c>
      <c r="E389" s="1" t="s">
        <v>1540</v>
      </c>
      <c r="F389" s="1" t="s">
        <v>1541</v>
      </c>
      <c r="G389" s="1"/>
      <c r="J389" s="1" t="s">
        <v>9795</v>
      </c>
      <c r="K389" s="2"/>
      <c r="L389" s="9" t="s">
        <v>8325</v>
      </c>
      <c r="P389" s="7" t="s">
        <v>1241</v>
      </c>
      <c r="AU389" s="15"/>
      <c r="AV389" s="1" t="s">
        <v>1502</v>
      </c>
      <c r="BG389" s="7" t="s">
        <v>1503</v>
      </c>
      <c r="BH389" s="1" t="s">
        <v>2780</v>
      </c>
      <c r="BI389" s="2" t="s">
        <v>3159</v>
      </c>
      <c r="BJ389" s="1" t="s">
        <v>2031</v>
      </c>
      <c r="BK389" s="1" t="s">
        <v>3160</v>
      </c>
      <c r="BL389" s="1" t="s">
        <v>3047</v>
      </c>
      <c r="BM389" s="2" t="s">
        <v>3161</v>
      </c>
    </row>
    <row r="390" spans="1:69" ht="144" x14ac:dyDescent="0.45">
      <c r="A390" s="5">
        <v>389</v>
      </c>
      <c r="B390" s="8" t="s">
        <v>266</v>
      </c>
      <c r="C390" s="6" t="s">
        <v>6852</v>
      </c>
      <c r="D390" s="7" t="s">
        <v>9794</v>
      </c>
      <c r="E390" s="1" t="s">
        <v>8984</v>
      </c>
      <c r="F390" s="1" t="s">
        <v>3162</v>
      </c>
      <c r="G390" s="1" t="s">
        <v>1542</v>
      </c>
      <c r="J390" s="1" t="s">
        <v>9795</v>
      </c>
      <c r="K390" s="2" t="s">
        <v>7686</v>
      </c>
      <c r="L390" s="9" t="s">
        <v>8326</v>
      </c>
      <c r="M390" s="1" t="s">
        <v>12192</v>
      </c>
      <c r="P390" s="7" t="s">
        <v>1241</v>
      </c>
      <c r="Q390" s="13"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R390"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S390"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T390" s="13" t="str">
        <f>INDEX($L:$L, MATCH("molecule", $B:$B, 0))</f>
        <v>&lt;span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v>
      </c>
      <c r="AU390" s="15"/>
      <c r="AV390" s="1" t="s">
        <v>1502</v>
      </c>
      <c r="BG390" s="7" t="s">
        <v>1503</v>
      </c>
      <c r="BH390" s="1" t="s">
        <v>2780</v>
      </c>
      <c r="BI390" s="2" t="s">
        <v>3163</v>
      </c>
      <c r="BJ390" s="1" t="s">
        <v>2419</v>
      </c>
      <c r="BK390" s="2" t="s">
        <v>3164</v>
      </c>
      <c r="BL390" s="1" t="s">
        <v>1860</v>
      </c>
      <c r="BM390" s="2" t="s">
        <v>3165</v>
      </c>
    </row>
    <row r="391" spans="1:69" ht="108" x14ac:dyDescent="0.45">
      <c r="A391" s="5">
        <v>390</v>
      </c>
      <c r="B391" s="8" t="s">
        <v>267</v>
      </c>
      <c r="C391" s="6" t="s">
        <v>6852</v>
      </c>
      <c r="D391" s="7" t="s">
        <v>9794</v>
      </c>
      <c r="E391" s="1" t="s">
        <v>1543</v>
      </c>
      <c r="F391" s="1" t="s">
        <v>766</v>
      </c>
      <c r="G391" s="1" t="s">
        <v>1544</v>
      </c>
      <c r="J391" s="1" t="s">
        <v>9795</v>
      </c>
      <c r="K391" s="2" t="s">
        <v>7687</v>
      </c>
      <c r="L391" s="9" t="s">
        <v>8327</v>
      </c>
      <c r="P391" s="7" t="s">
        <v>1241</v>
      </c>
      <c r="Q391" s="13" t="str">
        <f>INDEX($L:$L, MATCH("antibiotic", $B:$B, 0))</f>
        <v>&lt;span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v>
      </c>
      <c r="R391" s="13" t="str">
        <f>INDEX($L:$L, MATCH("microbe", $B:$B, 0))</f>
        <v>&lt;span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v>
      </c>
      <c r="AU391" s="15"/>
      <c r="AV391" s="1" t="s">
        <v>1502</v>
      </c>
      <c r="BG391" s="7" t="s">
        <v>1503</v>
      </c>
      <c r="BH391" s="1" t="s">
        <v>2423</v>
      </c>
      <c r="BI391" s="2" t="s">
        <v>3166</v>
      </c>
      <c r="BJ391" s="1" t="s">
        <v>1865</v>
      </c>
      <c r="BK391" s="2" t="s">
        <v>3167</v>
      </c>
    </row>
    <row r="392" spans="1:69" ht="288" x14ac:dyDescent="0.45">
      <c r="A392" s="5">
        <v>391</v>
      </c>
      <c r="B392" s="8" t="s">
        <v>1545</v>
      </c>
      <c r="C392" s="6" t="s">
        <v>6852</v>
      </c>
      <c r="D392" s="7" t="s">
        <v>9794</v>
      </c>
      <c r="E392" s="1" t="s">
        <v>46</v>
      </c>
      <c r="F392" s="1" t="s">
        <v>1546</v>
      </c>
      <c r="G392" s="1"/>
      <c r="J392" s="1" t="s">
        <v>9795</v>
      </c>
      <c r="K392" s="2" t="s">
        <v>7688</v>
      </c>
      <c r="L392" s="4" t="s">
        <v>8328</v>
      </c>
      <c r="M392" s="1" t="s">
        <v>12225</v>
      </c>
      <c r="P392" s="7" t="s">
        <v>1241</v>
      </c>
      <c r="Q392" s="1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392" s="1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392" s="1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392" s="14"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392" s="14"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392" s="1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392" s="1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392"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392"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392"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392"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392"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392"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392"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392"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392" s="15"/>
      <c r="AV392" s="1" t="s">
        <v>1502</v>
      </c>
      <c r="BG392" s="7" t="s">
        <v>1503</v>
      </c>
      <c r="BH392" s="1" t="s">
        <v>2780</v>
      </c>
      <c r="BI392" s="2" t="s">
        <v>7689</v>
      </c>
      <c r="BJ392" s="1" t="s">
        <v>2031</v>
      </c>
      <c r="BK392" s="1" t="s">
        <v>1545</v>
      </c>
      <c r="BL392" s="1" t="s">
        <v>1863</v>
      </c>
      <c r="BM392" s="2" t="s">
        <v>3168</v>
      </c>
      <c r="BN392" s="1" t="s">
        <v>1865</v>
      </c>
      <c r="BO392" s="2" t="s">
        <v>3169</v>
      </c>
    </row>
    <row r="393" spans="1:69" ht="252" x14ac:dyDescent="0.45">
      <c r="A393" s="5">
        <v>392</v>
      </c>
      <c r="B393" s="8" t="s">
        <v>268</v>
      </c>
      <c r="C393" s="6" t="s">
        <v>6852</v>
      </c>
      <c r="D393" s="7" t="s">
        <v>9794</v>
      </c>
      <c r="E393" s="6" t="s">
        <v>268</v>
      </c>
      <c r="F393" s="1"/>
      <c r="G393" s="1"/>
      <c r="J393" s="1" t="s">
        <v>9795</v>
      </c>
      <c r="K393" s="2" t="s">
        <v>7690</v>
      </c>
      <c r="L393" s="9" t="s">
        <v>8329</v>
      </c>
      <c r="P393" s="7" t="s">
        <v>1241</v>
      </c>
      <c r="AU393" s="15"/>
      <c r="AV393" s="1" t="s">
        <v>1502</v>
      </c>
      <c r="BG393" s="7" t="s">
        <v>1503</v>
      </c>
      <c r="BH393" s="1" t="s">
        <v>2780</v>
      </c>
      <c r="BI393" s="2" t="s">
        <v>7691</v>
      </c>
      <c r="BJ393" s="1" t="s">
        <v>2031</v>
      </c>
      <c r="BK393" s="1" t="s">
        <v>3170</v>
      </c>
      <c r="BL393" s="1" t="s">
        <v>1865</v>
      </c>
      <c r="BM393" s="2" t="s">
        <v>3171</v>
      </c>
    </row>
    <row r="394" spans="1:69" ht="270" x14ac:dyDescent="0.45">
      <c r="A394" s="5">
        <v>393</v>
      </c>
      <c r="B394" s="8" t="s">
        <v>1547</v>
      </c>
      <c r="C394" s="6" t="s">
        <v>6852</v>
      </c>
      <c r="D394" s="7" t="s">
        <v>9794</v>
      </c>
      <c r="E394" s="1" t="s">
        <v>8985</v>
      </c>
      <c r="F394" s="1" t="s">
        <v>49</v>
      </c>
      <c r="G394" s="1"/>
      <c r="J394" s="1" t="s">
        <v>9795</v>
      </c>
      <c r="K394" s="2" t="s">
        <v>7692</v>
      </c>
      <c r="L394" s="4" t="s">
        <v>8330</v>
      </c>
      <c r="M394" s="1" t="s">
        <v>12187</v>
      </c>
      <c r="P394" s="7" t="s">
        <v>1241</v>
      </c>
      <c r="Q394" s="1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394" s="1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394"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T394"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U394" s="1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394" s="14"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394"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394" s="15"/>
      <c r="AV394" s="1" t="s">
        <v>1502</v>
      </c>
      <c r="BG394" s="7" t="s">
        <v>1503</v>
      </c>
      <c r="BH394" s="1" t="s">
        <v>2780</v>
      </c>
      <c r="BI394" s="2" t="s">
        <v>3172</v>
      </c>
      <c r="BJ394" s="1" t="s">
        <v>2324</v>
      </c>
      <c r="BK394" s="2" t="s">
        <v>3173</v>
      </c>
      <c r="BL394" s="1" t="s">
        <v>3047</v>
      </c>
      <c r="BM394" s="2" t="s">
        <v>3174</v>
      </c>
      <c r="BN394" s="1" t="s">
        <v>1865</v>
      </c>
      <c r="BO394" s="2" t="s">
        <v>3175</v>
      </c>
    </row>
    <row r="395" spans="1:69" ht="108" x14ac:dyDescent="0.45">
      <c r="A395" s="5">
        <v>394</v>
      </c>
      <c r="B395" s="8" t="s">
        <v>269</v>
      </c>
      <c r="C395" s="6" t="s">
        <v>6852</v>
      </c>
      <c r="D395" s="7" t="s">
        <v>9794</v>
      </c>
      <c r="E395" s="1" t="s">
        <v>1454</v>
      </c>
      <c r="F395" s="1" t="s">
        <v>316</v>
      </c>
      <c r="G395" s="1" t="s">
        <v>1548</v>
      </c>
      <c r="J395" s="1" t="s">
        <v>9795</v>
      </c>
      <c r="K395" s="2" t="s">
        <v>7693</v>
      </c>
      <c r="L395" s="4" t="s">
        <v>8331</v>
      </c>
      <c r="P395" s="7" t="s">
        <v>1241</v>
      </c>
      <c r="Q395" s="13" t="str">
        <f>INDEX($L:$L, MATCH("norm", $B:$B, 0))</f>
        <v>&lt;span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v>
      </c>
      <c r="AU395" s="15"/>
      <c r="AV395" s="1" t="s">
        <v>1502</v>
      </c>
      <c r="BG395" s="7" t="s">
        <v>1503</v>
      </c>
      <c r="BH395" s="1" t="s">
        <v>2780</v>
      </c>
      <c r="BI395" s="2" t="s">
        <v>3176</v>
      </c>
      <c r="BJ395" s="1" t="s">
        <v>3047</v>
      </c>
      <c r="BK395" s="2" t="s">
        <v>3177</v>
      </c>
      <c r="BL395" s="1" t="s">
        <v>1865</v>
      </c>
      <c r="BM395" s="2" t="s">
        <v>3178</v>
      </c>
    </row>
    <row r="396" spans="1:69" ht="288" x14ac:dyDescent="0.45">
      <c r="A396" s="5">
        <v>395</v>
      </c>
      <c r="B396" s="8" t="s">
        <v>1549</v>
      </c>
      <c r="C396" s="6" t="s">
        <v>6852</v>
      </c>
      <c r="D396" s="7" t="s">
        <v>9794</v>
      </c>
      <c r="E396" s="1" t="s">
        <v>46</v>
      </c>
      <c r="F396" s="1" t="s">
        <v>8986</v>
      </c>
      <c r="G396" s="1"/>
      <c r="J396" s="1" t="s">
        <v>9795</v>
      </c>
      <c r="K396" s="2" t="s">
        <v>7694</v>
      </c>
      <c r="L396" s="4" t="s">
        <v>8332</v>
      </c>
      <c r="M396" s="1" t="s">
        <v>12206</v>
      </c>
      <c r="P396" s="7" t="s">
        <v>1241</v>
      </c>
      <c r="Q396" s="14"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396" s="14"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396" s="14"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396" s="14"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396" s="14"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V396" s="1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W396" s="15"/>
      <c r="AU396" s="15"/>
      <c r="AV396" s="1" t="s">
        <v>1502</v>
      </c>
      <c r="BG396" s="7" t="s">
        <v>1503</v>
      </c>
      <c r="BH396" s="1" t="s">
        <v>2780</v>
      </c>
      <c r="BI396" s="2" t="s">
        <v>3179</v>
      </c>
      <c r="BJ396" s="1" t="s">
        <v>3047</v>
      </c>
      <c r="BK396" s="2" t="s">
        <v>3180</v>
      </c>
      <c r="BL396" s="1" t="s">
        <v>1865</v>
      </c>
      <c r="BM396" s="1" t="s">
        <v>3181</v>
      </c>
    </row>
    <row r="397" spans="1:69" ht="180" x14ac:dyDescent="0.45">
      <c r="A397" s="5">
        <v>396</v>
      </c>
      <c r="B397" s="8" t="s">
        <v>270</v>
      </c>
      <c r="C397" s="6" t="s">
        <v>6852</v>
      </c>
      <c r="D397" s="7" t="s">
        <v>9794</v>
      </c>
      <c r="E397" s="1" t="s">
        <v>1550</v>
      </c>
      <c r="F397" s="1" t="s">
        <v>1551</v>
      </c>
      <c r="G397" s="1"/>
      <c r="J397" s="1" t="s">
        <v>9795</v>
      </c>
      <c r="K397" s="2" t="s">
        <v>7695</v>
      </c>
      <c r="L397" s="9" t="s">
        <v>8333</v>
      </c>
      <c r="P397" s="7" t="s">
        <v>1241</v>
      </c>
      <c r="Q397" s="13" t="str">
        <f>INDEX($L:$L, MATCH("dominate", $B:$B, 0))</f>
        <v>&lt;span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v>
      </c>
      <c r="AU397" s="15"/>
      <c r="AV397" s="1" t="s">
        <v>1502</v>
      </c>
      <c r="BG397" s="7" t="s">
        <v>1503</v>
      </c>
      <c r="BH397" s="1" t="s">
        <v>2780</v>
      </c>
      <c r="BI397" s="2" t="s">
        <v>7696</v>
      </c>
      <c r="BJ397" s="1" t="s">
        <v>2031</v>
      </c>
      <c r="BK397" s="2" t="s">
        <v>3182</v>
      </c>
      <c r="BL397" s="1" t="s">
        <v>1863</v>
      </c>
      <c r="BM397" s="2" t="s">
        <v>3183</v>
      </c>
      <c r="BN397" s="1" t="s">
        <v>1865</v>
      </c>
      <c r="BO397" s="2" t="s">
        <v>3184</v>
      </c>
    </row>
    <row r="398" spans="1:69" ht="162" x14ac:dyDescent="0.45">
      <c r="A398" s="5">
        <v>397</v>
      </c>
      <c r="B398" s="8" t="s">
        <v>271</v>
      </c>
      <c r="C398" s="6" t="s">
        <v>6852</v>
      </c>
      <c r="D398" s="7" t="s">
        <v>9794</v>
      </c>
      <c r="E398" s="1" t="s">
        <v>271</v>
      </c>
      <c r="F398" s="1"/>
      <c r="G398" s="1"/>
      <c r="J398" s="1" t="s">
        <v>9795</v>
      </c>
      <c r="K398" s="2" t="s">
        <v>7697</v>
      </c>
      <c r="L398" s="9" t="s">
        <v>8334</v>
      </c>
      <c r="P398" s="7" t="s">
        <v>1241</v>
      </c>
      <c r="AV398" s="1" t="s">
        <v>1502</v>
      </c>
      <c r="BG398" s="7" t="s">
        <v>1503</v>
      </c>
      <c r="BH398" s="1" t="s">
        <v>2423</v>
      </c>
      <c r="BI398" s="1" t="s">
        <v>3185</v>
      </c>
      <c r="BJ398" s="1" t="s">
        <v>2780</v>
      </c>
      <c r="BK398" s="2" t="s">
        <v>7698</v>
      </c>
      <c r="BL398" s="1" t="s">
        <v>2031</v>
      </c>
      <c r="BM398" s="2" t="s">
        <v>3186</v>
      </c>
      <c r="BN398" s="1" t="s">
        <v>1863</v>
      </c>
      <c r="BO398" s="2" t="s">
        <v>3187</v>
      </c>
      <c r="BP398" s="1" t="s">
        <v>1865</v>
      </c>
      <c r="BQ398" s="2" t="s">
        <v>7699</v>
      </c>
    </row>
    <row r="399" spans="1:69" ht="108" x14ac:dyDescent="0.45">
      <c r="A399" s="5">
        <v>398</v>
      </c>
      <c r="B399" s="8" t="s">
        <v>1610</v>
      </c>
      <c r="C399" s="6" t="s">
        <v>6852</v>
      </c>
      <c r="D399" s="7" t="s">
        <v>9794</v>
      </c>
      <c r="E399" s="6" t="s">
        <v>1552</v>
      </c>
      <c r="F399" s="6" t="s">
        <v>1544</v>
      </c>
      <c r="G399" s="1"/>
      <c r="J399" s="1" t="s">
        <v>9795</v>
      </c>
      <c r="K399" s="2" t="s">
        <v>7700</v>
      </c>
      <c r="L399" s="9" t="s">
        <v>8335</v>
      </c>
      <c r="P399" s="7" t="s">
        <v>1241</v>
      </c>
      <c r="AU399" s="15"/>
      <c r="AV399" s="1" t="s">
        <v>1502</v>
      </c>
      <c r="BG399" s="7" t="s">
        <v>1503</v>
      </c>
      <c r="BH399" s="1" t="s">
        <v>2423</v>
      </c>
      <c r="BI399" s="2" t="s">
        <v>3188</v>
      </c>
      <c r="BJ399" s="1" t="s">
        <v>2324</v>
      </c>
      <c r="BK399" s="1" t="s">
        <v>3189</v>
      </c>
      <c r="BL399" s="1" t="s">
        <v>1980</v>
      </c>
      <c r="BM399" s="1" t="s">
        <v>3190</v>
      </c>
      <c r="BN399" s="1" t="s">
        <v>1865</v>
      </c>
      <c r="BO399" s="2" t="s">
        <v>3191</v>
      </c>
    </row>
    <row r="400" spans="1:69" ht="144" x14ac:dyDescent="0.45">
      <c r="A400" s="5">
        <v>399</v>
      </c>
      <c r="B400" s="8" t="s">
        <v>272</v>
      </c>
      <c r="C400" s="6" t="s">
        <v>6854</v>
      </c>
      <c r="D400" s="7" t="s">
        <v>9794</v>
      </c>
      <c r="E400" s="1" t="s">
        <v>1537</v>
      </c>
      <c r="F400" s="1" t="s">
        <v>1553</v>
      </c>
      <c r="G400" s="1"/>
      <c r="J400" s="1" t="s">
        <v>9795</v>
      </c>
      <c r="K400" s="2" t="s">
        <v>7701</v>
      </c>
      <c r="L400" s="9" t="s">
        <v>8336</v>
      </c>
      <c r="P400" s="7" t="s">
        <v>1241</v>
      </c>
      <c r="Q400" s="16" t="str">
        <f>INDEX($L:$L, MATCH("overall", $B:$B, 0))</f>
        <v>&lt;span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v>
      </c>
      <c r="R400" s="19"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S400" s="19" t="str">
        <f>INDEX($L:$L, MATCH("supreme", $B:$B, 0))</f>
        <v>&lt;span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v>
      </c>
      <c r="AU400" s="15"/>
      <c r="AV400" s="1" t="s">
        <v>1502</v>
      </c>
      <c r="BG400" s="7" t="s">
        <v>1503</v>
      </c>
      <c r="BH400" s="1" t="s">
        <v>1865</v>
      </c>
      <c r="BI400" s="2" t="s">
        <v>3192</v>
      </c>
    </row>
    <row r="401" spans="1:69" ht="409.6" x14ac:dyDescent="0.45">
      <c r="A401" s="5">
        <v>400</v>
      </c>
      <c r="B401" s="8" t="s">
        <v>273</v>
      </c>
      <c r="C401" s="6" t="s">
        <v>6854</v>
      </c>
      <c r="D401" s="7" t="s">
        <v>9794</v>
      </c>
      <c r="E401" s="1" t="s">
        <v>1554</v>
      </c>
      <c r="F401" s="1" t="s">
        <v>1555</v>
      </c>
      <c r="G401" s="1" t="s">
        <v>1556</v>
      </c>
      <c r="J401" s="1" t="s">
        <v>9795</v>
      </c>
      <c r="K401" s="2" t="s">
        <v>8634</v>
      </c>
      <c r="L401" s="9" t="s">
        <v>10561</v>
      </c>
      <c r="P401" s="7" t="s">
        <v>1241</v>
      </c>
      <c r="Q401" s="13" t="str">
        <f>INDEX($L:$L, MATCH("nonetheless", $B:$B, 0))</f>
        <v>&lt;span class="w"&gt;&lt;b&gt;【1000.nonetheless：それにもかかわらず, それでもなお】&lt;/b&gt;&lt;/span&gt;
&lt;span class="ml"&gt;関連語のneverthelessを参照。&lt;/span&gt;</v>
      </c>
      <c r="AU401" s="15"/>
      <c r="AV401" s="1" t="s">
        <v>1502</v>
      </c>
      <c r="BG401" s="7" t="s">
        <v>1503</v>
      </c>
      <c r="BH401" s="1" t="s">
        <v>1863</v>
      </c>
      <c r="BI401" s="2" t="s">
        <v>3193</v>
      </c>
    </row>
    <row r="402" spans="1:69" ht="162" x14ac:dyDescent="0.45">
      <c r="A402" s="5">
        <v>401</v>
      </c>
      <c r="B402" s="8" t="s">
        <v>274</v>
      </c>
      <c r="C402" s="6" t="s">
        <v>1816</v>
      </c>
      <c r="D402" s="7" t="s">
        <v>9794</v>
      </c>
      <c r="E402" s="1" t="s">
        <v>1327</v>
      </c>
      <c r="F402" s="1" t="s">
        <v>1611</v>
      </c>
      <c r="G402" s="1"/>
      <c r="J402" s="1" t="s">
        <v>9795</v>
      </c>
      <c r="K402" s="2" t="s">
        <v>7703</v>
      </c>
      <c r="L402" s="9" t="s">
        <v>8337</v>
      </c>
      <c r="P402" s="7" t="s">
        <v>1241</v>
      </c>
      <c r="AU402" s="15"/>
      <c r="AV402" s="1" t="s">
        <v>1502</v>
      </c>
      <c r="BG402" s="7" t="s">
        <v>1503</v>
      </c>
      <c r="BH402" s="1" t="s">
        <v>2780</v>
      </c>
      <c r="BI402" s="2" t="s">
        <v>3194</v>
      </c>
      <c r="BJ402" s="1" t="s">
        <v>2419</v>
      </c>
      <c r="BK402" s="2" t="s">
        <v>3207</v>
      </c>
    </row>
    <row r="403" spans="1:69" ht="108" x14ac:dyDescent="0.45">
      <c r="A403" s="5">
        <v>402</v>
      </c>
      <c r="B403" s="8" t="s">
        <v>1131</v>
      </c>
      <c r="C403" s="6" t="s">
        <v>1816</v>
      </c>
      <c r="D403" s="7" t="s">
        <v>9794</v>
      </c>
      <c r="E403" s="1" t="s">
        <v>1612</v>
      </c>
      <c r="F403" s="1" t="s">
        <v>1613</v>
      </c>
      <c r="G403" s="1"/>
      <c r="J403" s="1" t="s">
        <v>9795</v>
      </c>
      <c r="K403" s="2" t="s">
        <v>7704</v>
      </c>
      <c r="L403" s="9" t="s">
        <v>8338</v>
      </c>
      <c r="P403" s="7" t="s">
        <v>1241</v>
      </c>
      <c r="AU403" s="15"/>
      <c r="AV403" s="1" t="s">
        <v>1502</v>
      </c>
      <c r="BG403" s="7" t="s">
        <v>1503</v>
      </c>
      <c r="BH403" s="1" t="s">
        <v>1863</v>
      </c>
      <c r="BI403" s="2" t="s">
        <v>7705</v>
      </c>
    </row>
    <row r="404" spans="1:69" ht="198" x14ac:dyDescent="0.45">
      <c r="A404" s="5">
        <v>403</v>
      </c>
      <c r="B404" s="8" t="s">
        <v>1616</v>
      </c>
      <c r="C404" s="6" t="s">
        <v>1816</v>
      </c>
      <c r="D404" s="7" t="s">
        <v>9794</v>
      </c>
      <c r="E404" s="1" t="s">
        <v>1454</v>
      </c>
      <c r="F404" s="1" t="s">
        <v>8987</v>
      </c>
      <c r="G404" s="1"/>
      <c r="J404" s="1" t="s">
        <v>9795</v>
      </c>
      <c r="K404" s="2" t="s">
        <v>7706</v>
      </c>
      <c r="L404" s="4" t="s">
        <v>8339</v>
      </c>
      <c r="M404" s="1" t="s">
        <v>12167</v>
      </c>
      <c r="P404" s="7" t="s">
        <v>1241</v>
      </c>
      <c r="Q404" s="14"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404" s="14"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404" s="14"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T404" s="14"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U404" s="13"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AU404" s="15"/>
      <c r="AV404" s="1" t="s">
        <v>1502</v>
      </c>
      <c r="BG404" s="7" t="s">
        <v>1503</v>
      </c>
      <c r="BH404" s="1" t="s">
        <v>2780</v>
      </c>
      <c r="BI404" s="2" t="s">
        <v>3195</v>
      </c>
      <c r="BJ404" s="1" t="s">
        <v>3047</v>
      </c>
      <c r="BK404" s="2" t="s">
        <v>3196</v>
      </c>
      <c r="BL404" s="1" t="s">
        <v>1865</v>
      </c>
      <c r="BM404" s="2" t="s">
        <v>3197</v>
      </c>
    </row>
    <row r="405" spans="1:69" ht="180" x14ac:dyDescent="0.45">
      <c r="A405" s="5">
        <v>404</v>
      </c>
      <c r="B405" s="8" t="s">
        <v>1617</v>
      </c>
      <c r="C405" s="6" t="s">
        <v>1816</v>
      </c>
      <c r="D405" s="7" t="s">
        <v>9794</v>
      </c>
      <c r="E405" s="1" t="s">
        <v>8988</v>
      </c>
      <c r="F405" s="1" t="s">
        <v>645</v>
      </c>
      <c r="G405" s="1"/>
      <c r="J405" s="1" t="s">
        <v>9795</v>
      </c>
      <c r="K405" s="2" t="s">
        <v>7707</v>
      </c>
      <c r="L405" s="9" t="s">
        <v>8340</v>
      </c>
      <c r="P405" s="7" t="s">
        <v>1241</v>
      </c>
      <c r="Q405" s="22"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R405" s="15"/>
      <c r="S405" s="15"/>
      <c r="T405" s="15"/>
      <c r="U405" s="15"/>
      <c r="V405" s="15"/>
      <c r="W405" s="15"/>
      <c r="X405" s="15"/>
      <c r="Y405" s="15"/>
      <c r="AA405" s="15"/>
      <c r="AB405" s="15"/>
      <c r="AC405" s="15"/>
      <c r="AD405" s="15"/>
      <c r="AE405" s="15"/>
      <c r="AF405" s="15"/>
      <c r="AG405" s="15"/>
      <c r="AU405" s="15"/>
      <c r="AV405" s="1" t="s">
        <v>1502</v>
      </c>
      <c r="BG405" s="7" t="s">
        <v>1503</v>
      </c>
      <c r="BH405" s="1" t="s">
        <v>2780</v>
      </c>
      <c r="BI405" s="2" t="s">
        <v>3198</v>
      </c>
      <c r="BJ405" s="1" t="s">
        <v>2031</v>
      </c>
      <c r="BK405" s="2" t="s">
        <v>3199</v>
      </c>
      <c r="BL405" s="1" t="s">
        <v>1869</v>
      </c>
      <c r="BM405" s="1" t="s">
        <v>3200</v>
      </c>
      <c r="BN405" s="1" t="s">
        <v>3047</v>
      </c>
      <c r="BO405" s="2" t="s">
        <v>3201</v>
      </c>
    </row>
    <row r="406" spans="1:69" ht="216" x14ac:dyDescent="0.45">
      <c r="A406" s="5">
        <v>405</v>
      </c>
      <c r="B406" s="8" t="s">
        <v>1618</v>
      </c>
      <c r="C406" s="6" t="s">
        <v>1816</v>
      </c>
      <c r="D406" s="7" t="s">
        <v>9794</v>
      </c>
      <c r="E406" s="1" t="s">
        <v>1251</v>
      </c>
      <c r="F406" s="1" t="s">
        <v>1467</v>
      </c>
      <c r="G406" s="1" t="s">
        <v>8989</v>
      </c>
      <c r="J406" s="1" t="s">
        <v>9795</v>
      </c>
      <c r="K406" s="2" t="s">
        <v>7708</v>
      </c>
      <c r="L406" s="4" t="s">
        <v>8341</v>
      </c>
      <c r="P406" s="7" t="s">
        <v>1241</v>
      </c>
      <c r="Q406" s="14"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R406" s="13"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AU406" s="15"/>
      <c r="AV406" s="1" t="s">
        <v>1502</v>
      </c>
      <c r="BG406" s="7" t="s">
        <v>1503</v>
      </c>
      <c r="BH406" s="1" t="s">
        <v>2780</v>
      </c>
      <c r="BI406" s="2" t="s">
        <v>7709</v>
      </c>
      <c r="BJ406" s="1" t="s">
        <v>1980</v>
      </c>
      <c r="BK406" s="2" t="s">
        <v>3202</v>
      </c>
      <c r="BL406" s="1" t="s">
        <v>3047</v>
      </c>
      <c r="BM406" s="2" t="s">
        <v>3208</v>
      </c>
      <c r="BN406" s="1" t="s">
        <v>1865</v>
      </c>
      <c r="BO406" s="2" t="s">
        <v>3203</v>
      </c>
    </row>
    <row r="407" spans="1:69" ht="306" x14ac:dyDescent="0.45">
      <c r="A407" s="5">
        <v>406</v>
      </c>
      <c r="B407" s="8" t="s">
        <v>1132</v>
      </c>
      <c r="C407" s="6" t="s">
        <v>1816</v>
      </c>
      <c r="D407" s="7" t="s">
        <v>9794</v>
      </c>
      <c r="E407" s="1" t="s">
        <v>1459</v>
      </c>
      <c r="F407" s="1" t="s">
        <v>1614</v>
      </c>
      <c r="G407" s="1"/>
      <c r="J407" s="1" t="s">
        <v>9795</v>
      </c>
      <c r="K407" s="2" t="s">
        <v>7710</v>
      </c>
      <c r="L407" s="3" t="s">
        <v>8342</v>
      </c>
      <c r="M407" s="1" t="s">
        <v>12257</v>
      </c>
      <c r="P407" s="7" t="s">
        <v>1241</v>
      </c>
      <c r="Q407" s="14"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R407" s="14"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S407" s="14"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T407" s="14"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U407" s="14"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V407" s="15"/>
      <c r="W407" s="15"/>
      <c r="AU407" s="15"/>
      <c r="AV407" s="1" t="s">
        <v>1502</v>
      </c>
      <c r="BG407" s="7" t="s">
        <v>1503</v>
      </c>
      <c r="BH407" s="1" t="s">
        <v>2780</v>
      </c>
      <c r="BI407" s="2" t="s">
        <v>3204</v>
      </c>
      <c r="BJ407" s="1" t="s">
        <v>3047</v>
      </c>
      <c r="BK407" s="2" t="s">
        <v>3205</v>
      </c>
    </row>
    <row r="408" spans="1:69" ht="396" x14ac:dyDescent="0.45">
      <c r="A408" s="5">
        <v>407</v>
      </c>
      <c r="B408" s="8" t="s">
        <v>1619</v>
      </c>
      <c r="C408" s="6" t="s">
        <v>1816</v>
      </c>
      <c r="D408" s="7" t="s">
        <v>9794</v>
      </c>
      <c r="E408" s="1" t="s">
        <v>200</v>
      </c>
      <c r="F408" s="1" t="s">
        <v>7711</v>
      </c>
      <c r="G408" s="1"/>
      <c r="J408" s="1" t="s">
        <v>9795</v>
      </c>
      <c r="K408" s="2" t="s">
        <v>7712</v>
      </c>
      <c r="L408" s="4" t="s">
        <v>8343</v>
      </c>
      <c r="M408" s="1" t="s">
        <v>12200</v>
      </c>
      <c r="P408" s="7" t="s">
        <v>1241</v>
      </c>
      <c r="Q408" s="14"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408" s="14"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408" s="14"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408" s="14"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U408" s="14"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V408" s="14"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408" s="14"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408" s="14"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408" s="1" t="s">
        <v>1502</v>
      </c>
      <c r="BG408" s="7" t="s">
        <v>1503</v>
      </c>
      <c r="BH408" s="1" t="s">
        <v>2569</v>
      </c>
      <c r="BI408" s="1" t="s">
        <v>2838</v>
      </c>
      <c r="BJ408" s="1" t="s">
        <v>2780</v>
      </c>
      <c r="BK408" s="2" t="s">
        <v>3209</v>
      </c>
      <c r="BL408" s="1" t="s">
        <v>1865</v>
      </c>
      <c r="BM408" s="2" t="s">
        <v>3206</v>
      </c>
    </row>
    <row r="409" spans="1:69" ht="180" x14ac:dyDescent="0.45">
      <c r="A409" s="5">
        <v>408</v>
      </c>
      <c r="B409" s="8" t="s">
        <v>1133</v>
      </c>
      <c r="C409" s="6" t="s">
        <v>1816</v>
      </c>
      <c r="D409" s="7" t="s">
        <v>9794</v>
      </c>
      <c r="E409" s="1" t="s">
        <v>1413</v>
      </c>
      <c r="F409" s="1" t="s">
        <v>1615</v>
      </c>
      <c r="G409" s="1"/>
      <c r="J409" s="1" t="s">
        <v>9795</v>
      </c>
      <c r="K409" s="2" t="s">
        <v>7713</v>
      </c>
      <c r="L409" s="3" t="s">
        <v>8344</v>
      </c>
      <c r="P409" s="7" t="s">
        <v>1241</v>
      </c>
      <c r="AU409" s="15"/>
      <c r="AV409" s="1" t="s">
        <v>1502</v>
      </c>
      <c r="BG409" s="7" t="s">
        <v>1503</v>
      </c>
      <c r="BH409" s="1" t="s">
        <v>2780</v>
      </c>
      <c r="BI409" s="2" t="s">
        <v>3211</v>
      </c>
      <c r="BJ409" s="1" t="s">
        <v>1996</v>
      </c>
      <c r="BK409" s="2" t="s">
        <v>3212</v>
      </c>
      <c r="BL409" s="1" t="s">
        <v>1877</v>
      </c>
      <c r="BM409" s="2" t="s">
        <v>3213</v>
      </c>
    </row>
    <row r="410" spans="1:69" ht="108" x14ac:dyDescent="0.45">
      <c r="A410" s="5">
        <v>409</v>
      </c>
      <c r="B410" s="8" t="s">
        <v>1620</v>
      </c>
      <c r="C410" s="6" t="s">
        <v>1816</v>
      </c>
      <c r="D410" s="7" t="s">
        <v>9794</v>
      </c>
      <c r="E410" s="1" t="s">
        <v>1621</v>
      </c>
      <c r="F410" s="1" t="s">
        <v>1196</v>
      </c>
      <c r="G410" s="1"/>
      <c r="J410" s="1" t="s">
        <v>9795</v>
      </c>
      <c r="K410" s="2" t="s">
        <v>7714</v>
      </c>
      <c r="L410" s="9" t="s">
        <v>8345</v>
      </c>
      <c r="P410" s="7" t="s">
        <v>1241</v>
      </c>
      <c r="AU410" s="15"/>
      <c r="AV410" s="1" t="s">
        <v>1502</v>
      </c>
      <c r="BG410" s="7" t="s">
        <v>1503</v>
      </c>
      <c r="BH410" s="1" t="s">
        <v>1872</v>
      </c>
      <c r="BI410" s="2" t="s">
        <v>7715</v>
      </c>
      <c r="BJ410" s="1" t="s">
        <v>1875</v>
      </c>
      <c r="BK410" s="2" t="s">
        <v>3214</v>
      </c>
      <c r="BL410" s="1" t="s">
        <v>1877</v>
      </c>
      <c r="BM410" s="2" t="s">
        <v>3215</v>
      </c>
    </row>
    <row r="411" spans="1:69" ht="72" x14ac:dyDescent="0.45">
      <c r="A411" s="5">
        <v>410</v>
      </c>
      <c r="B411" s="8" t="s">
        <v>1134</v>
      </c>
      <c r="C411" s="6" t="s">
        <v>1816</v>
      </c>
      <c r="D411" s="7" t="s">
        <v>9794</v>
      </c>
      <c r="E411" s="1" t="s">
        <v>1134</v>
      </c>
      <c r="F411" s="1"/>
      <c r="G411" s="1"/>
      <c r="J411" s="1" t="s">
        <v>9795</v>
      </c>
      <c r="K411" s="2" t="s">
        <v>7716</v>
      </c>
      <c r="L411" s="3" t="s">
        <v>8706</v>
      </c>
      <c r="P411" s="7" t="s">
        <v>1241</v>
      </c>
      <c r="AV411" s="1" t="s">
        <v>1502</v>
      </c>
      <c r="BG411" s="7" t="s">
        <v>1503</v>
      </c>
      <c r="BH411" s="1" t="s">
        <v>1872</v>
      </c>
      <c r="BI411" s="1" t="s">
        <v>3216</v>
      </c>
      <c r="BJ411" s="1" t="s">
        <v>1875</v>
      </c>
      <c r="BK411" s="2" t="s">
        <v>3217</v>
      </c>
    </row>
    <row r="412" spans="1:69" ht="252" x14ac:dyDescent="0.45">
      <c r="A412" s="5">
        <v>411</v>
      </c>
      <c r="B412" s="8" t="s">
        <v>1135</v>
      </c>
      <c r="C412" s="6" t="s">
        <v>1816</v>
      </c>
      <c r="D412" s="7" t="s">
        <v>9794</v>
      </c>
      <c r="E412" s="1" t="s">
        <v>1135</v>
      </c>
      <c r="F412" s="1"/>
      <c r="G412" s="1"/>
      <c r="J412" s="1" t="s">
        <v>9795</v>
      </c>
      <c r="K412" s="2" t="s">
        <v>7717</v>
      </c>
      <c r="L412" s="3" t="s">
        <v>10695</v>
      </c>
      <c r="M412" s="1" t="s">
        <v>12252</v>
      </c>
      <c r="P412" s="7" t="s">
        <v>1241</v>
      </c>
      <c r="Q412" s="14"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R412" s="14"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S412" s="13"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T412" s="13"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AU412" s="15"/>
      <c r="AV412" s="1" t="s">
        <v>1502</v>
      </c>
      <c r="BG412" s="7" t="s">
        <v>1503</v>
      </c>
      <c r="BH412" s="1" t="s">
        <v>1872</v>
      </c>
      <c r="BI412" s="2" t="s">
        <v>3218</v>
      </c>
      <c r="BJ412" s="1" t="s">
        <v>1875</v>
      </c>
      <c r="BK412" s="1" t="s">
        <v>3219</v>
      </c>
      <c r="BL412" s="1" t="s">
        <v>1877</v>
      </c>
      <c r="BM412" s="2" t="s">
        <v>3220</v>
      </c>
    </row>
    <row r="413" spans="1:69" ht="126" x14ac:dyDescent="0.45">
      <c r="A413" s="5">
        <v>412</v>
      </c>
      <c r="B413" s="8" t="s">
        <v>1136</v>
      </c>
      <c r="C413" s="6" t="s">
        <v>1816</v>
      </c>
      <c r="D413" s="7" t="s">
        <v>9794</v>
      </c>
      <c r="E413" s="1" t="s">
        <v>1622</v>
      </c>
      <c r="F413" s="1" t="s">
        <v>1623</v>
      </c>
      <c r="G413" s="1"/>
      <c r="J413" s="1" t="s">
        <v>9795</v>
      </c>
      <c r="K413" s="2" t="s">
        <v>7718</v>
      </c>
      <c r="L413" s="9" t="s">
        <v>8346</v>
      </c>
      <c r="P413" s="7" t="s">
        <v>1241</v>
      </c>
      <c r="AU413" s="15"/>
      <c r="AV413" s="1" t="s">
        <v>1502</v>
      </c>
      <c r="BG413" s="7" t="s">
        <v>1503</v>
      </c>
      <c r="BH413" s="1" t="s">
        <v>1872</v>
      </c>
      <c r="BI413" s="2" t="s">
        <v>3221</v>
      </c>
      <c r="BJ413" s="1" t="s">
        <v>1875</v>
      </c>
      <c r="BK413" s="2" t="s">
        <v>3222</v>
      </c>
      <c r="BL413" s="1" t="s">
        <v>1877</v>
      </c>
      <c r="BM413" s="2" t="s">
        <v>3223</v>
      </c>
    </row>
    <row r="414" spans="1:69" ht="198" x14ac:dyDescent="0.45">
      <c r="A414" s="5">
        <v>413</v>
      </c>
      <c r="B414" s="8" t="s">
        <v>1624</v>
      </c>
      <c r="C414" s="6" t="s">
        <v>1816</v>
      </c>
      <c r="D414" s="7" t="s">
        <v>9794</v>
      </c>
      <c r="E414" s="1" t="s">
        <v>46</v>
      </c>
      <c r="F414" s="1" t="s">
        <v>44</v>
      </c>
      <c r="G414" s="1"/>
      <c r="J414" s="1" t="s">
        <v>9795</v>
      </c>
      <c r="K414" s="2" t="s">
        <v>7719</v>
      </c>
      <c r="L414" s="3" t="s">
        <v>8347</v>
      </c>
      <c r="M414" s="1" t="s">
        <v>12166</v>
      </c>
      <c r="P414" s="7" t="s">
        <v>1241</v>
      </c>
      <c r="Q414" s="14" t="str">
        <f>INDEX($L:$L, MATCH("include", $B:$B, 0))</f>
        <v>&lt;span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v>
      </c>
      <c r="R414" s="14" t="str">
        <f>INDEX($L:$L, MATCH("exclude", $B:$B, 0))</f>
        <v>&lt;span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v>
      </c>
      <c r="AU414" s="15"/>
      <c r="AV414" s="1" t="s">
        <v>1502</v>
      </c>
      <c r="BG414" s="7" t="s">
        <v>1503</v>
      </c>
      <c r="BH414" s="1" t="s">
        <v>1947</v>
      </c>
      <c r="BI414" s="2" t="s">
        <v>3224</v>
      </c>
      <c r="BJ414" s="1" t="s">
        <v>1875</v>
      </c>
      <c r="BK414" s="2" t="s">
        <v>3225</v>
      </c>
    </row>
    <row r="415" spans="1:69" ht="252" x14ac:dyDescent="0.45">
      <c r="A415" s="5">
        <v>414</v>
      </c>
      <c r="B415" s="8" t="s">
        <v>1625</v>
      </c>
      <c r="C415" s="6" t="s">
        <v>1816</v>
      </c>
      <c r="D415" s="7" t="s">
        <v>9794</v>
      </c>
      <c r="E415" s="1" t="s">
        <v>1459</v>
      </c>
      <c r="F415" s="1" t="s">
        <v>8990</v>
      </c>
      <c r="G415" s="1"/>
      <c r="J415" s="1" t="s">
        <v>9795</v>
      </c>
      <c r="K415" s="2" t="s">
        <v>7720</v>
      </c>
      <c r="L415" s="3" t="s">
        <v>8348</v>
      </c>
      <c r="M415" s="1" t="s">
        <v>12240</v>
      </c>
      <c r="P415" s="7" t="s">
        <v>1241</v>
      </c>
      <c r="Q415" s="1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415" s="1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S415" s="1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T415" s="1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U415"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V415" s="14"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W415" s="1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415" s="1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415"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415"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415" s="15"/>
      <c r="AV415" s="1" t="s">
        <v>1502</v>
      </c>
      <c r="BG415" s="7" t="s">
        <v>1503</v>
      </c>
      <c r="BH415" s="1" t="s">
        <v>1947</v>
      </c>
      <c r="BI415" s="2" t="s">
        <v>7721</v>
      </c>
      <c r="BJ415" s="1" t="s">
        <v>1959</v>
      </c>
      <c r="BK415" s="1" t="s">
        <v>3226</v>
      </c>
      <c r="BL415" s="1" t="s">
        <v>1875</v>
      </c>
      <c r="BM415" s="2" t="s">
        <v>3227</v>
      </c>
      <c r="BN415" s="1" t="s">
        <v>1877</v>
      </c>
      <c r="BO415" s="2" t="s">
        <v>3228</v>
      </c>
    </row>
    <row r="416" spans="1:69" ht="198" x14ac:dyDescent="0.45">
      <c r="A416" s="5">
        <v>415</v>
      </c>
      <c r="B416" s="8" t="s">
        <v>275</v>
      </c>
      <c r="C416" s="6" t="s">
        <v>1816</v>
      </c>
      <c r="D416" s="7" t="s">
        <v>9794</v>
      </c>
      <c r="E416" s="1" t="s">
        <v>1447</v>
      </c>
      <c r="F416" s="1" t="s">
        <v>1626</v>
      </c>
      <c r="G416" s="1"/>
      <c r="J416" s="1" t="s">
        <v>9795</v>
      </c>
      <c r="K416" s="2" t="s">
        <v>7722</v>
      </c>
      <c r="L416" s="3" t="s">
        <v>8349</v>
      </c>
      <c r="M416" s="1" t="s">
        <v>12236</v>
      </c>
      <c r="P416" s="7" t="s">
        <v>1241</v>
      </c>
      <c r="Q416" s="1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R416" s="14"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S416"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T416"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416"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AU416" s="15"/>
      <c r="AV416" s="1" t="s">
        <v>1502</v>
      </c>
      <c r="BG416" s="7" t="s">
        <v>1503</v>
      </c>
      <c r="BH416" s="1" t="s">
        <v>1947</v>
      </c>
      <c r="BI416" s="2" t="s">
        <v>3229</v>
      </c>
      <c r="BJ416" s="1" t="s">
        <v>2036</v>
      </c>
      <c r="BK416" s="1" t="s">
        <v>3230</v>
      </c>
      <c r="BL416" s="1" t="s">
        <v>1959</v>
      </c>
      <c r="BM416" s="2" t="s">
        <v>3231</v>
      </c>
      <c r="BN416" s="1" t="s">
        <v>1875</v>
      </c>
      <c r="BO416" s="2" t="s">
        <v>3232</v>
      </c>
      <c r="BP416" s="1" t="s">
        <v>1877</v>
      </c>
      <c r="BQ416" s="2" t="s">
        <v>3233</v>
      </c>
    </row>
    <row r="417" spans="1:67" ht="108" x14ac:dyDescent="0.45">
      <c r="A417" s="5">
        <v>416</v>
      </c>
      <c r="B417" s="8" t="s">
        <v>276</v>
      </c>
      <c r="C417" s="6" t="s">
        <v>1816</v>
      </c>
      <c r="D417" s="7" t="s">
        <v>9794</v>
      </c>
      <c r="E417" s="1" t="s">
        <v>1251</v>
      </c>
      <c r="F417" s="1" t="s">
        <v>1627</v>
      </c>
      <c r="G417" s="1"/>
      <c r="J417" s="1" t="s">
        <v>9795</v>
      </c>
      <c r="K417" s="2" t="s">
        <v>7723</v>
      </c>
      <c r="L417" s="9" t="s">
        <v>8350</v>
      </c>
      <c r="M417" s="1" t="s">
        <v>12210</v>
      </c>
      <c r="P417" s="7" t="s">
        <v>1241</v>
      </c>
      <c r="Q417" s="13"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417" s="13"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417" s="13"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T417"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U417"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V417"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V417" s="1" t="s">
        <v>1502</v>
      </c>
      <c r="BG417" s="7" t="s">
        <v>1503</v>
      </c>
      <c r="BH417" s="1" t="s">
        <v>1947</v>
      </c>
      <c r="BI417" s="1" t="s">
        <v>3234</v>
      </c>
      <c r="BJ417" s="1" t="s">
        <v>1872</v>
      </c>
      <c r="BK417" s="2" t="s">
        <v>3235</v>
      </c>
      <c r="BL417" s="1" t="s">
        <v>1877</v>
      </c>
      <c r="BM417" s="2" t="s">
        <v>3236</v>
      </c>
    </row>
    <row r="418" spans="1:67" ht="72" x14ac:dyDescent="0.45">
      <c r="A418" s="5">
        <v>417</v>
      </c>
      <c r="B418" s="8" t="s">
        <v>1628</v>
      </c>
      <c r="C418" s="6" t="s">
        <v>1816</v>
      </c>
      <c r="D418" s="7" t="s">
        <v>9794</v>
      </c>
      <c r="E418" s="1" t="s">
        <v>277</v>
      </c>
      <c r="F418" s="1"/>
      <c r="G418" s="1"/>
      <c r="J418" s="1" t="s">
        <v>9795</v>
      </c>
      <c r="K418" s="2" t="s">
        <v>7724</v>
      </c>
      <c r="L418" s="4" t="s">
        <v>8351</v>
      </c>
      <c r="P418" s="7" t="s">
        <v>1241</v>
      </c>
      <c r="Q418" s="15"/>
      <c r="AU418" s="15"/>
      <c r="AV418" s="1" t="s">
        <v>1502</v>
      </c>
      <c r="BG418" s="7" t="s">
        <v>1503</v>
      </c>
      <c r="BH418" s="1" t="s">
        <v>1947</v>
      </c>
      <c r="BI418" s="2" t="s">
        <v>3237</v>
      </c>
      <c r="BJ418" s="1" t="s">
        <v>1877</v>
      </c>
      <c r="BK418" s="2" t="s">
        <v>3238</v>
      </c>
    </row>
    <row r="419" spans="1:67" ht="90" x14ac:dyDescent="0.45">
      <c r="A419" s="5">
        <v>418</v>
      </c>
      <c r="B419" s="8" t="s">
        <v>278</v>
      </c>
      <c r="C419" s="6" t="s">
        <v>1816</v>
      </c>
      <c r="D419" s="7" t="s">
        <v>9794</v>
      </c>
      <c r="E419" s="1" t="s">
        <v>278</v>
      </c>
      <c r="F419" s="1"/>
      <c r="G419" s="1"/>
      <c r="J419" s="1" t="s">
        <v>9795</v>
      </c>
      <c r="K419" s="2" t="s">
        <v>7725</v>
      </c>
      <c r="L419" s="9" t="s">
        <v>8352</v>
      </c>
      <c r="P419" s="7" t="s">
        <v>1241</v>
      </c>
      <c r="AU419" s="15"/>
      <c r="AV419" s="1" t="s">
        <v>1502</v>
      </c>
      <c r="BG419" s="7" t="s">
        <v>1503</v>
      </c>
      <c r="BH419" s="1" t="s">
        <v>1947</v>
      </c>
      <c r="BI419" s="2" t="s">
        <v>3239</v>
      </c>
      <c r="BJ419" s="1" t="s">
        <v>1959</v>
      </c>
      <c r="BK419" s="1" t="s">
        <v>3240</v>
      </c>
      <c r="BL419" s="1" t="s">
        <v>1875</v>
      </c>
      <c r="BM419" s="2" t="s">
        <v>3241</v>
      </c>
    </row>
    <row r="420" spans="1:67" ht="72" x14ac:dyDescent="0.45">
      <c r="A420" s="5">
        <v>419</v>
      </c>
      <c r="B420" s="8" t="s">
        <v>279</v>
      </c>
      <c r="C420" s="6" t="s">
        <v>1816</v>
      </c>
      <c r="D420" s="7" t="s">
        <v>9794</v>
      </c>
      <c r="E420" s="1" t="s">
        <v>279</v>
      </c>
      <c r="F420" s="1"/>
      <c r="G420" s="1"/>
      <c r="J420" s="1" t="s">
        <v>9795</v>
      </c>
      <c r="K420" s="2" t="s">
        <v>3242</v>
      </c>
      <c r="L420" s="9" t="s">
        <v>8353</v>
      </c>
      <c r="P420" s="7" t="s">
        <v>1241</v>
      </c>
      <c r="Q420" s="13" t="str">
        <f>INDEX($L:$L, MATCH("bitter", $B:$B, 0))</f>
        <v>&lt;span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v>
      </c>
      <c r="AV420" s="1" t="s">
        <v>1502</v>
      </c>
      <c r="BG420" s="7" t="s">
        <v>1503</v>
      </c>
      <c r="BH420" s="1" t="s">
        <v>1976</v>
      </c>
      <c r="BI420" s="1" t="s">
        <v>3243</v>
      </c>
      <c r="BJ420" s="1" t="s">
        <v>1872</v>
      </c>
      <c r="BK420" s="1" t="s">
        <v>3244</v>
      </c>
    </row>
    <row r="421" spans="1:67" ht="126" x14ac:dyDescent="0.45">
      <c r="A421" s="5">
        <v>420</v>
      </c>
      <c r="B421" s="8" t="s">
        <v>280</v>
      </c>
      <c r="C421" s="6" t="s">
        <v>1816</v>
      </c>
      <c r="D421" s="7" t="s">
        <v>9794</v>
      </c>
      <c r="E421" s="1" t="s">
        <v>1327</v>
      </c>
      <c r="F421" s="1" t="s">
        <v>1629</v>
      </c>
      <c r="G421" s="1"/>
      <c r="J421" s="1" t="s">
        <v>9795</v>
      </c>
      <c r="K421" s="2" t="s">
        <v>7726</v>
      </c>
      <c r="L421" s="9" t="s">
        <v>8354</v>
      </c>
      <c r="P421" s="7" t="s">
        <v>1241</v>
      </c>
      <c r="Q421" s="19" t="str">
        <f>INDEX($L:$L, MATCH("liberal", $B:$B, 0))</f>
        <v>&lt;span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liberales（自由人の学芸＝リベラル・アーツ）と呼び、そこからliberalは「一般教養の」という意味になった。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v>
      </c>
      <c r="AU421" s="15"/>
      <c r="AV421" s="1" t="s">
        <v>1502</v>
      </c>
      <c r="BG421" s="7" t="s">
        <v>1503</v>
      </c>
      <c r="BH421" s="1" t="s">
        <v>1947</v>
      </c>
      <c r="BI421" s="2" t="s">
        <v>3245</v>
      </c>
      <c r="BJ421" s="1" t="s">
        <v>2036</v>
      </c>
      <c r="BK421" s="2" t="s">
        <v>3246</v>
      </c>
      <c r="BL421" s="1" t="s">
        <v>1959</v>
      </c>
      <c r="BM421" s="1" t="s">
        <v>3247</v>
      </c>
      <c r="BN421" s="1" t="s">
        <v>1875</v>
      </c>
      <c r="BO421" s="2" t="s">
        <v>3248</v>
      </c>
    </row>
    <row r="422" spans="1:67" ht="162" x14ac:dyDescent="0.45">
      <c r="A422" s="5">
        <v>421</v>
      </c>
      <c r="B422" s="8" t="s">
        <v>1630</v>
      </c>
      <c r="C422" s="6" t="s">
        <v>1816</v>
      </c>
      <c r="D422" s="7" t="s">
        <v>9794</v>
      </c>
      <c r="E422" s="1" t="s">
        <v>1325</v>
      </c>
      <c r="F422" s="1" t="s">
        <v>6456</v>
      </c>
      <c r="G422" s="1"/>
      <c r="J422" s="1" t="s">
        <v>9795</v>
      </c>
      <c r="K422" s="2" t="s">
        <v>7727</v>
      </c>
      <c r="L422" s="3" t="s">
        <v>8355</v>
      </c>
      <c r="M422" s="1" t="s">
        <v>12258</v>
      </c>
      <c r="P422" s="7" t="s">
        <v>1241</v>
      </c>
      <c r="Q422" s="1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R422" s="15"/>
      <c r="S422" s="15"/>
      <c r="T422" s="15"/>
      <c r="U422" s="15"/>
      <c r="V422" s="15"/>
      <c r="W422" s="15"/>
      <c r="X422" s="15"/>
      <c r="Y422" s="15"/>
      <c r="Z422" s="15"/>
      <c r="AA422" s="15"/>
      <c r="AB422" s="15"/>
      <c r="AC422" s="15"/>
      <c r="AD422" s="15"/>
      <c r="AE422" s="15"/>
      <c r="AF422" s="15"/>
      <c r="AG422" s="15"/>
      <c r="AU422" s="15"/>
      <c r="AV422" s="1" t="s">
        <v>1502</v>
      </c>
      <c r="BG422" s="7" t="s">
        <v>1503</v>
      </c>
      <c r="BH422" s="1" t="s">
        <v>1947</v>
      </c>
      <c r="BI422" s="2" t="s">
        <v>3249</v>
      </c>
      <c r="BJ422" s="1" t="s">
        <v>3250</v>
      </c>
      <c r="BK422" s="1" t="s">
        <v>3251</v>
      </c>
      <c r="BL422" s="1" t="s">
        <v>2114</v>
      </c>
      <c r="BM422" s="1" t="s">
        <v>3252</v>
      </c>
      <c r="BN422" s="1" t="s">
        <v>1875</v>
      </c>
      <c r="BO422" s="2" t="s">
        <v>3253</v>
      </c>
    </row>
    <row r="423" spans="1:67" ht="252" x14ac:dyDescent="0.45">
      <c r="A423" s="5">
        <v>422</v>
      </c>
      <c r="B423" s="8" t="s">
        <v>281</v>
      </c>
      <c r="C423" s="6" t="s">
        <v>1816</v>
      </c>
      <c r="D423" s="7" t="s">
        <v>9794</v>
      </c>
      <c r="E423" s="1" t="s">
        <v>1631</v>
      </c>
      <c r="F423" s="1" t="s">
        <v>1632</v>
      </c>
      <c r="G423" s="1"/>
      <c r="J423" s="1" t="s">
        <v>9795</v>
      </c>
      <c r="K423" s="2" t="s">
        <v>7728</v>
      </c>
      <c r="L423" s="4" t="s">
        <v>8356</v>
      </c>
      <c r="M423" s="1" t="s">
        <v>12246</v>
      </c>
      <c r="P423" s="7" t="s">
        <v>1241</v>
      </c>
      <c r="Q423" s="14"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R423" s="14"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S423" s="13"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T423" s="13"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U423" s="13"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AU423" s="15"/>
      <c r="AV423" s="1" t="s">
        <v>1502</v>
      </c>
      <c r="BG423" s="7" t="s">
        <v>1503</v>
      </c>
      <c r="BH423" s="1" t="s">
        <v>1947</v>
      </c>
      <c r="BI423" s="2" t="s">
        <v>3254</v>
      </c>
      <c r="BJ423" s="1" t="s">
        <v>1959</v>
      </c>
      <c r="BK423" s="1" t="s">
        <v>3255</v>
      </c>
      <c r="BL423" s="1" t="s">
        <v>1875</v>
      </c>
      <c r="BM423" s="2" t="s">
        <v>3256</v>
      </c>
      <c r="BN423" s="1" t="s">
        <v>1877</v>
      </c>
      <c r="BO423" s="2" t="s">
        <v>3257</v>
      </c>
    </row>
    <row r="424" spans="1:67" ht="324" x14ac:dyDescent="0.45">
      <c r="A424" s="5">
        <v>423</v>
      </c>
      <c r="B424" s="8" t="s">
        <v>1633</v>
      </c>
      <c r="C424" s="6" t="s">
        <v>1816</v>
      </c>
      <c r="D424" s="7" t="s">
        <v>9794</v>
      </c>
      <c r="E424" s="1" t="s">
        <v>29</v>
      </c>
      <c r="F424" s="1" t="s">
        <v>1330</v>
      </c>
      <c r="G424" s="1"/>
      <c r="J424" s="1" t="s">
        <v>9795</v>
      </c>
      <c r="K424" s="2" t="s">
        <v>7729</v>
      </c>
      <c r="L424" s="3" t="s">
        <v>8357</v>
      </c>
      <c r="M424" s="1" t="s">
        <v>12209</v>
      </c>
      <c r="P424" s="7" t="s">
        <v>1241</v>
      </c>
      <c r="Q424" s="1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424" s="1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S424"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T424" s="1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U424"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424" s="14"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424" s="14"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X424" s="15"/>
      <c r="Y424" s="15"/>
      <c r="AU424" s="15"/>
      <c r="AV424" s="1" t="s">
        <v>1502</v>
      </c>
      <c r="BG424" s="7" t="s">
        <v>1503</v>
      </c>
      <c r="BH424" s="1" t="s">
        <v>1947</v>
      </c>
      <c r="BI424" s="2" t="s">
        <v>3258</v>
      </c>
      <c r="BJ424" s="1" t="s">
        <v>1959</v>
      </c>
      <c r="BK424" s="1" t="s">
        <v>3259</v>
      </c>
      <c r="BL424" s="1" t="s">
        <v>1875</v>
      </c>
      <c r="BM424" s="2" t="s">
        <v>3260</v>
      </c>
      <c r="BN424" s="1" t="s">
        <v>1877</v>
      </c>
      <c r="BO424" s="2" t="s">
        <v>3261</v>
      </c>
    </row>
    <row r="425" spans="1:67" ht="90" x14ac:dyDescent="0.45">
      <c r="A425" s="5">
        <v>424</v>
      </c>
      <c r="B425" s="8" t="s">
        <v>282</v>
      </c>
      <c r="C425" s="6" t="s">
        <v>1816</v>
      </c>
      <c r="D425" s="7" t="s">
        <v>9794</v>
      </c>
      <c r="E425" s="1" t="s">
        <v>1634</v>
      </c>
      <c r="F425" s="1" t="s">
        <v>1635</v>
      </c>
      <c r="G425" s="1"/>
      <c r="J425" s="1" t="s">
        <v>9795</v>
      </c>
      <c r="K425" s="2" t="s">
        <v>7730</v>
      </c>
      <c r="L425" s="9" t="s">
        <v>8358</v>
      </c>
      <c r="P425" s="7" t="s">
        <v>1241</v>
      </c>
      <c r="Q425" s="19"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425" s="19"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425" s="19"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T425" s="19"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U425" s="19" t="str">
        <f>INDEX($L:$L, MATCH("mankind", $B:$B, 0))</f>
        <v>&lt;span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v>
      </c>
      <c r="V425" s="19"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AU425" s="15"/>
      <c r="AV425" s="1" t="s">
        <v>1502</v>
      </c>
      <c r="BG425" s="7" t="s">
        <v>1503</v>
      </c>
      <c r="BH425" s="1" t="s">
        <v>1872</v>
      </c>
      <c r="BI425" s="2" t="s">
        <v>3262</v>
      </c>
      <c r="BJ425" s="1" t="s">
        <v>1875</v>
      </c>
      <c r="BK425" s="1" t="s">
        <v>3263</v>
      </c>
      <c r="BL425" s="1" t="s">
        <v>1877</v>
      </c>
      <c r="BM425" s="1" t="s">
        <v>3264</v>
      </c>
    </row>
    <row r="426" spans="1:67" ht="198" x14ac:dyDescent="0.45">
      <c r="A426" s="5">
        <v>425</v>
      </c>
      <c r="B426" s="8" t="s">
        <v>1636</v>
      </c>
      <c r="C426" s="6" t="s">
        <v>1816</v>
      </c>
      <c r="D426" s="7" t="s">
        <v>9794</v>
      </c>
      <c r="E426" s="1" t="s">
        <v>283</v>
      </c>
      <c r="F426" s="1"/>
      <c r="G426" s="1"/>
      <c r="J426" s="1" t="s">
        <v>9795</v>
      </c>
      <c r="K426" s="2" t="s">
        <v>7731</v>
      </c>
      <c r="L426" s="3" t="s">
        <v>8359</v>
      </c>
      <c r="M426" s="1" t="s">
        <v>12250</v>
      </c>
      <c r="P426" s="7" t="s">
        <v>1241</v>
      </c>
      <c r="Q426" s="14"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R426" s="14" t="str">
        <f>INDEX($L:$L, MATCH("precious", $B:$B, 0))</f>
        <v>&lt;span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v>
      </c>
      <c r="AU426" s="15"/>
      <c r="AV426" s="1" t="s">
        <v>1502</v>
      </c>
      <c r="BG426" s="7" t="s">
        <v>1503</v>
      </c>
      <c r="BH426" s="1" t="s">
        <v>1947</v>
      </c>
      <c r="BI426" s="2" t="s">
        <v>3265</v>
      </c>
      <c r="BJ426" s="1" t="s">
        <v>2036</v>
      </c>
      <c r="BK426" s="2" t="s">
        <v>3266</v>
      </c>
      <c r="BL426" s="1" t="s">
        <v>1959</v>
      </c>
      <c r="BM426" s="1" t="s">
        <v>3267</v>
      </c>
      <c r="BN426" s="1" t="s">
        <v>1875</v>
      </c>
      <c r="BO426" s="2" t="s">
        <v>3268</v>
      </c>
    </row>
    <row r="427" spans="1:67" ht="234" x14ac:dyDescent="0.45">
      <c r="A427" s="5">
        <v>426</v>
      </c>
      <c r="B427" s="8" t="s">
        <v>284</v>
      </c>
      <c r="C427" s="6" t="s">
        <v>1816</v>
      </c>
      <c r="D427" s="7" t="s">
        <v>9794</v>
      </c>
      <c r="E427" s="1" t="s">
        <v>1329</v>
      </c>
      <c r="F427" s="1" t="s">
        <v>1637</v>
      </c>
      <c r="G427" s="1"/>
      <c r="J427" s="1" t="s">
        <v>9795</v>
      </c>
      <c r="K427" s="2" t="s">
        <v>7732</v>
      </c>
      <c r="L427" s="9" t="s">
        <v>8360</v>
      </c>
      <c r="P427" s="7" t="s">
        <v>1241</v>
      </c>
      <c r="Q427" s="14"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R427" s="14"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S427" s="13"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AU427" s="15"/>
      <c r="AV427" s="1" t="s">
        <v>1502</v>
      </c>
      <c r="BG427" s="7" t="s">
        <v>1503</v>
      </c>
      <c r="BH427" s="1" t="s">
        <v>1947</v>
      </c>
      <c r="BI427" s="2" t="s">
        <v>3269</v>
      </c>
      <c r="BJ427" s="1" t="s">
        <v>1959</v>
      </c>
      <c r="BK427" s="1" t="s">
        <v>3270</v>
      </c>
      <c r="BL427" s="1" t="s">
        <v>2114</v>
      </c>
      <c r="BM427" s="1" t="s">
        <v>3271</v>
      </c>
      <c r="BN427" s="1" t="s">
        <v>1875</v>
      </c>
      <c r="BO427" s="2" t="s">
        <v>3272</v>
      </c>
    </row>
    <row r="428" spans="1:67" ht="198" x14ac:dyDescent="0.45">
      <c r="A428" s="5">
        <v>427</v>
      </c>
      <c r="B428" s="8" t="s">
        <v>1638</v>
      </c>
      <c r="C428" s="6" t="s">
        <v>1816</v>
      </c>
      <c r="D428" s="7" t="s">
        <v>9794</v>
      </c>
      <c r="E428" s="1" t="s">
        <v>27</v>
      </c>
      <c r="F428" s="1" t="s">
        <v>4276</v>
      </c>
      <c r="G428" s="1"/>
      <c r="J428" s="1" t="s">
        <v>9795</v>
      </c>
      <c r="K428" s="2" t="s">
        <v>7733</v>
      </c>
      <c r="L428" s="3" t="s">
        <v>8361</v>
      </c>
      <c r="M428" s="1" t="s">
        <v>12180</v>
      </c>
      <c r="P428" s="7" t="s">
        <v>1241</v>
      </c>
      <c r="Q428" s="14"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428" s="14"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S428" s="14"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T428" s="14"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U428" s="13"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U428" s="15"/>
      <c r="AV428" s="1" t="s">
        <v>1502</v>
      </c>
      <c r="BG428" s="7" t="s">
        <v>1503</v>
      </c>
      <c r="BH428" s="1" t="s">
        <v>1947</v>
      </c>
      <c r="BI428" s="2" t="s">
        <v>3273</v>
      </c>
      <c r="BJ428" s="1" t="s">
        <v>1959</v>
      </c>
      <c r="BK428" s="1" t="s">
        <v>3274</v>
      </c>
      <c r="BL428" s="1" t="s">
        <v>1877</v>
      </c>
      <c r="BM428" s="2" t="s">
        <v>3275</v>
      </c>
    </row>
    <row r="429" spans="1:67" ht="198" x14ac:dyDescent="0.45">
      <c r="A429" s="5">
        <v>428</v>
      </c>
      <c r="B429" s="8" t="s">
        <v>1639</v>
      </c>
      <c r="C429" s="6" t="s">
        <v>1816</v>
      </c>
      <c r="D429" s="7" t="s">
        <v>9794</v>
      </c>
      <c r="E429" s="1" t="s">
        <v>1467</v>
      </c>
      <c r="F429" s="1" t="s">
        <v>8897</v>
      </c>
      <c r="G429" s="1"/>
      <c r="J429" s="1" t="s">
        <v>9795</v>
      </c>
      <c r="K429" s="2" t="s">
        <v>7734</v>
      </c>
      <c r="L429" s="4" t="s">
        <v>8362</v>
      </c>
      <c r="P429" s="7" t="s">
        <v>1241</v>
      </c>
      <c r="Q429" s="14"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429" s="14"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S429" s="13"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AU429" s="15"/>
      <c r="AV429" s="1" t="s">
        <v>1502</v>
      </c>
      <c r="BG429" s="7" t="s">
        <v>1503</v>
      </c>
      <c r="BH429" s="1" t="s">
        <v>1947</v>
      </c>
      <c r="BI429" s="2" t="s">
        <v>3276</v>
      </c>
      <c r="BJ429" s="1" t="s">
        <v>2036</v>
      </c>
      <c r="BK429" s="1" t="s">
        <v>3277</v>
      </c>
      <c r="BL429" s="1" t="s">
        <v>1959</v>
      </c>
      <c r="BM429" s="1" t="s">
        <v>3278</v>
      </c>
      <c r="BN429" s="1" t="s">
        <v>1877</v>
      </c>
      <c r="BO429" s="2" t="s">
        <v>3279</v>
      </c>
    </row>
    <row r="430" spans="1:67" ht="90" x14ac:dyDescent="0.45">
      <c r="A430" s="5">
        <v>429</v>
      </c>
      <c r="B430" s="8" t="s">
        <v>285</v>
      </c>
      <c r="C430" s="6" t="s">
        <v>1816</v>
      </c>
      <c r="D430" s="7" t="s">
        <v>9794</v>
      </c>
      <c r="E430" s="1" t="s">
        <v>285</v>
      </c>
      <c r="F430" s="1"/>
      <c r="G430" s="1"/>
      <c r="J430" s="1" t="s">
        <v>9795</v>
      </c>
      <c r="K430" s="2" t="s">
        <v>7735</v>
      </c>
      <c r="L430" s="4" t="s">
        <v>8363</v>
      </c>
      <c r="P430" s="7" t="s">
        <v>1241</v>
      </c>
      <c r="AV430" s="1" t="s">
        <v>1502</v>
      </c>
      <c r="BG430" s="7" t="s">
        <v>1503</v>
      </c>
      <c r="BH430" s="1" t="s">
        <v>2268</v>
      </c>
      <c r="BI430" s="1" t="s">
        <v>3280</v>
      </c>
      <c r="BJ430" s="1" t="s">
        <v>1959</v>
      </c>
      <c r="BK430" s="1" t="s">
        <v>3281</v>
      </c>
      <c r="BL430" s="1" t="s">
        <v>1875</v>
      </c>
      <c r="BM430" s="2" t="s">
        <v>3282</v>
      </c>
      <c r="BN430" s="1" t="s">
        <v>1877</v>
      </c>
      <c r="BO430" s="2" t="s">
        <v>3283</v>
      </c>
    </row>
    <row r="431" spans="1:67" ht="108" x14ac:dyDescent="0.45">
      <c r="A431" s="5">
        <v>430</v>
      </c>
      <c r="B431" s="8" t="s">
        <v>286</v>
      </c>
      <c r="C431" s="6" t="s">
        <v>1816</v>
      </c>
      <c r="D431" s="7" t="s">
        <v>9794</v>
      </c>
      <c r="E431" s="1" t="s">
        <v>1327</v>
      </c>
      <c r="F431" s="1" t="s">
        <v>1640</v>
      </c>
      <c r="G431" s="1"/>
      <c r="J431" s="1" t="s">
        <v>9795</v>
      </c>
      <c r="K431" s="2" t="s">
        <v>7736</v>
      </c>
      <c r="L431" s="9" t="s">
        <v>8364</v>
      </c>
      <c r="P431" s="7" t="s">
        <v>1241</v>
      </c>
      <c r="Q431" s="13"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U431" s="15"/>
      <c r="AV431" s="1" t="s">
        <v>1502</v>
      </c>
      <c r="BG431" s="7" t="s">
        <v>1503</v>
      </c>
      <c r="BH431" s="1" t="s">
        <v>1947</v>
      </c>
      <c r="BI431" s="2" t="s">
        <v>3284</v>
      </c>
      <c r="BJ431" s="1" t="s">
        <v>1959</v>
      </c>
      <c r="BK431" s="1" t="s">
        <v>3285</v>
      </c>
      <c r="BL431" s="1" t="s">
        <v>1875</v>
      </c>
      <c r="BM431" s="2" t="s">
        <v>3286</v>
      </c>
    </row>
    <row r="432" spans="1:67" ht="198" x14ac:dyDescent="0.45">
      <c r="A432" s="5">
        <v>431</v>
      </c>
      <c r="B432" s="8" t="s">
        <v>1641</v>
      </c>
      <c r="C432" s="6" t="s">
        <v>1816</v>
      </c>
      <c r="D432" s="7" t="s">
        <v>9794</v>
      </c>
      <c r="E432" s="1" t="s">
        <v>1251</v>
      </c>
      <c r="F432" s="1" t="s">
        <v>8895</v>
      </c>
      <c r="G432" s="1"/>
      <c r="J432" s="1" t="s">
        <v>9795</v>
      </c>
      <c r="K432" s="2" t="s">
        <v>7737</v>
      </c>
      <c r="L432" s="3" t="s">
        <v>8365</v>
      </c>
      <c r="M432" s="1" t="s">
        <v>12182</v>
      </c>
      <c r="P432" s="7" t="s">
        <v>1241</v>
      </c>
      <c r="Q432" s="14"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432" s="14"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S432" s="14"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AU432" s="15"/>
      <c r="AV432" s="1" t="s">
        <v>1502</v>
      </c>
      <c r="BG432" s="7" t="s">
        <v>1503</v>
      </c>
      <c r="BH432" s="1" t="s">
        <v>1947</v>
      </c>
      <c r="BI432" s="2" t="s">
        <v>3287</v>
      </c>
      <c r="BJ432" s="1" t="s">
        <v>1959</v>
      </c>
      <c r="BK432" s="1" t="s">
        <v>3288</v>
      </c>
      <c r="BL432" s="1" t="s">
        <v>1875</v>
      </c>
      <c r="BM432" s="2" t="s">
        <v>3289</v>
      </c>
      <c r="BN432" s="1" t="s">
        <v>1877</v>
      </c>
      <c r="BO432" s="2" t="s">
        <v>3290</v>
      </c>
    </row>
    <row r="433" spans="1:67" ht="270" x14ac:dyDescent="0.45">
      <c r="A433" s="5">
        <v>432</v>
      </c>
      <c r="B433" s="8" t="s">
        <v>1642</v>
      </c>
      <c r="C433" s="6" t="s">
        <v>1816</v>
      </c>
      <c r="D433" s="7" t="s">
        <v>9794</v>
      </c>
      <c r="E433" s="1" t="s">
        <v>27</v>
      </c>
      <c r="F433" s="1" t="s">
        <v>54</v>
      </c>
      <c r="G433" s="1"/>
      <c r="J433" s="1" t="s">
        <v>9795</v>
      </c>
      <c r="K433" s="2" t="s">
        <v>7141</v>
      </c>
      <c r="L433" s="3" t="s">
        <v>8366</v>
      </c>
      <c r="M433" s="1" t="s">
        <v>12171</v>
      </c>
      <c r="P433" s="7" t="s">
        <v>1241</v>
      </c>
      <c r="Q433" s="14"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433" s="14"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433" s="14"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433" s="14"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U433"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V433" s="14"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U433" s="15"/>
      <c r="AV433" s="1" t="s">
        <v>1502</v>
      </c>
      <c r="BG433" s="7" t="s">
        <v>1503</v>
      </c>
      <c r="BH433" s="1" t="s">
        <v>1947</v>
      </c>
      <c r="BI433" s="2" t="s">
        <v>3291</v>
      </c>
      <c r="BJ433" s="1" t="s">
        <v>1959</v>
      </c>
      <c r="BK433" s="1" t="s">
        <v>3292</v>
      </c>
      <c r="BL433" s="1" t="s">
        <v>1875</v>
      </c>
      <c r="BM433" s="2" t="s">
        <v>3293</v>
      </c>
    </row>
    <row r="434" spans="1:67" ht="409.6" x14ac:dyDescent="0.45">
      <c r="A434" s="5">
        <v>433</v>
      </c>
      <c r="B434" s="8" t="s">
        <v>1643</v>
      </c>
      <c r="C434" s="6" t="s">
        <v>1816</v>
      </c>
      <c r="D434" s="7" t="s">
        <v>9794</v>
      </c>
      <c r="E434" s="1" t="s">
        <v>1413</v>
      </c>
      <c r="F434" s="1" t="s">
        <v>4640</v>
      </c>
      <c r="G434" s="1"/>
      <c r="J434" s="1" t="s">
        <v>9795</v>
      </c>
      <c r="K434" s="2" t="s">
        <v>7738</v>
      </c>
      <c r="L434" s="3" t="s">
        <v>8367</v>
      </c>
      <c r="M434" s="1" t="s">
        <v>12207</v>
      </c>
      <c r="P434" s="7" t="s">
        <v>1241</v>
      </c>
      <c r="Q434" s="1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434" s="1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S434" s="14"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T434" s="14"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U434" s="1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V434" s="1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434" s="1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434" s="1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434" s="14"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434" s="1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434" s="1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434" s="1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434" s="14"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434" s="1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434" s="1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F434" s="15"/>
      <c r="AG434" s="15"/>
      <c r="AU434" s="15"/>
      <c r="AV434" s="1" t="s">
        <v>1502</v>
      </c>
      <c r="BG434" s="7" t="s">
        <v>1503</v>
      </c>
      <c r="BH434" s="1" t="s">
        <v>1947</v>
      </c>
      <c r="BI434" s="2" t="s">
        <v>3294</v>
      </c>
      <c r="BJ434" s="1" t="s">
        <v>1959</v>
      </c>
      <c r="BK434" s="2" t="s">
        <v>3367</v>
      </c>
      <c r="BL434" s="1" t="s">
        <v>1875</v>
      </c>
      <c r="BM434" s="2" t="s">
        <v>3295</v>
      </c>
      <c r="BN434" s="1" t="s">
        <v>1877</v>
      </c>
      <c r="BO434" s="2" t="s">
        <v>3296</v>
      </c>
    </row>
    <row r="435" spans="1:67" ht="108" x14ac:dyDescent="0.45">
      <c r="A435" s="5">
        <v>434</v>
      </c>
      <c r="B435" s="8" t="s">
        <v>287</v>
      </c>
      <c r="C435" s="6" t="s">
        <v>1816</v>
      </c>
      <c r="D435" s="7" t="s">
        <v>9794</v>
      </c>
      <c r="E435" s="1" t="s">
        <v>287</v>
      </c>
      <c r="F435" s="1"/>
      <c r="G435" s="1"/>
      <c r="J435" s="1" t="s">
        <v>9795</v>
      </c>
      <c r="K435" s="2" t="s">
        <v>7739</v>
      </c>
      <c r="L435" s="9" t="s">
        <v>8368</v>
      </c>
      <c r="P435" s="7" t="s">
        <v>1241</v>
      </c>
      <c r="AU435" s="15"/>
      <c r="AV435" s="1" t="s">
        <v>1502</v>
      </c>
      <c r="BG435" s="7" t="s">
        <v>1503</v>
      </c>
      <c r="BH435" s="1" t="s">
        <v>1947</v>
      </c>
      <c r="BI435" s="2" t="s">
        <v>3297</v>
      </c>
      <c r="BJ435" s="1" t="s">
        <v>1959</v>
      </c>
      <c r="BK435" s="1" t="s">
        <v>3298</v>
      </c>
      <c r="BL435" s="1" t="s">
        <v>1875</v>
      </c>
      <c r="BM435" s="2" t="s">
        <v>3299</v>
      </c>
    </row>
    <row r="436" spans="1:67" ht="162" x14ac:dyDescent="0.45">
      <c r="A436" s="5">
        <v>435</v>
      </c>
      <c r="B436" s="8" t="s">
        <v>288</v>
      </c>
      <c r="C436" s="6" t="s">
        <v>1816</v>
      </c>
      <c r="D436" s="7" t="s">
        <v>9794</v>
      </c>
      <c r="E436" s="1" t="s">
        <v>27</v>
      </c>
      <c r="F436" s="1" t="s">
        <v>1644</v>
      </c>
      <c r="G436" s="1"/>
      <c r="J436" s="1" t="s">
        <v>9795</v>
      </c>
      <c r="K436" s="2" t="s">
        <v>7740</v>
      </c>
      <c r="L436" s="9" t="s">
        <v>8369</v>
      </c>
      <c r="P436" s="7" t="s">
        <v>1241</v>
      </c>
      <c r="Q436" s="14" t="str">
        <f>INDEX($L:$L, MATCH("spiritual", $B:$B, 0))</f>
        <v>&lt;span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v>
      </c>
      <c r="R436" s="15"/>
      <c r="AU436" s="15"/>
      <c r="AV436" s="1" t="s">
        <v>1502</v>
      </c>
      <c r="BG436" s="7" t="s">
        <v>1503</v>
      </c>
      <c r="BH436" s="1" t="s">
        <v>1947</v>
      </c>
      <c r="BI436" s="2" t="s">
        <v>3300</v>
      </c>
      <c r="BJ436" s="1" t="s">
        <v>1959</v>
      </c>
      <c r="BK436" s="1" t="s">
        <v>3301</v>
      </c>
      <c r="BL436" s="1" t="s">
        <v>1875</v>
      </c>
      <c r="BM436" s="2" t="s">
        <v>3302</v>
      </c>
    </row>
    <row r="437" spans="1:67" ht="409.6" x14ac:dyDescent="0.45">
      <c r="A437" s="5">
        <v>436</v>
      </c>
      <c r="B437" s="8" t="s">
        <v>1645</v>
      </c>
      <c r="C437" s="6" t="s">
        <v>1816</v>
      </c>
      <c r="D437" s="7" t="s">
        <v>9794</v>
      </c>
      <c r="E437" s="1" t="s">
        <v>31</v>
      </c>
      <c r="F437" s="1" t="s">
        <v>4640</v>
      </c>
      <c r="G437" s="1"/>
      <c r="J437" s="1" t="s">
        <v>9795</v>
      </c>
      <c r="K437" s="2" t="s">
        <v>7741</v>
      </c>
      <c r="L437" s="4" t="s">
        <v>8370</v>
      </c>
      <c r="M437" s="1" t="s">
        <v>12207</v>
      </c>
      <c r="P437" s="7" t="s">
        <v>1241</v>
      </c>
      <c r="Q437" s="1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437" s="14"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437" s="1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437" s="14"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U437" s="1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V437" s="1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437" s="1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437" s="1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437" s="14"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437" s="1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437" s="1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437" s="1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437" s="14"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437" s="1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437" s="1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F437" s="15"/>
      <c r="AG437" s="15"/>
      <c r="AU437" s="15"/>
      <c r="AV437" s="1" t="s">
        <v>1502</v>
      </c>
      <c r="BG437" s="7" t="s">
        <v>1503</v>
      </c>
      <c r="BH437" s="1" t="s">
        <v>1947</v>
      </c>
      <c r="BI437" s="2" t="s">
        <v>3303</v>
      </c>
      <c r="BJ437" s="1" t="s">
        <v>1959</v>
      </c>
      <c r="BK437" s="2" t="s">
        <v>3368</v>
      </c>
      <c r="BL437" s="1" t="s">
        <v>1875</v>
      </c>
      <c r="BM437" s="2" t="s">
        <v>3304</v>
      </c>
      <c r="BN437" s="1" t="s">
        <v>1877</v>
      </c>
      <c r="BO437" s="2" t="s">
        <v>3305</v>
      </c>
    </row>
    <row r="438" spans="1:67" ht="90" x14ac:dyDescent="0.45">
      <c r="A438" s="5">
        <v>437</v>
      </c>
      <c r="B438" s="8" t="s">
        <v>289</v>
      </c>
      <c r="C438" s="6" t="s">
        <v>1816</v>
      </c>
      <c r="D438" s="7" t="s">
        <v>9794</v>
      </c>
      <c r="E438" s="1" t="s">
        <v>289</v>
      </c>
      <c r="F438" s="1"/>
      <c r="G438" s="1"/>
      <c r="J438" s="1" t="s">
        <v>9795</v>
      </c>
      <c r="K438" s="2" t="s">
        <v>1646</v>
      </c>
      <c r="L438" s="9" t="s">
        <v>8371</v>
      </c>
      <c r="P438" s="7" t="s">
        <v>1241</v>
      </c>
      <c r="AV438" s="1" t="s">
        <v>1502</v>
      </c>
      <c r="BG438" s="7" t="s">
        <v>1503</v>
      </c>
      <c r="BH438" s="1" t="s">
        <v>1959</v>
      </c>
      <c r="BI438" s="1" t="s">
        <v>3306</v>
      </c>
      <c r="BJ438" s="1" t="s">
        <v>2114</v>
      </c>
      <c r="BK438" s="1" t="s">
        <v>3307</v>
      </c>
      <c r="BL438" s="1" t="s">
        <v>1875</v>
      </c>
      <c r="BM438" s="2" t="s">
        <v>3308</v>
      </c>
      <c r="BN438" s="1" t="s">
        <v>1877</v>
      </c>
      <c r="BO438" s="2" t="s">
        <v>3309</v>
      </c>
    </row>
    <row r="439" spans="1:67" ht="72" x14ac:dyDescent="0.45">
      <c r="A439" s="5">
        <v>438</v>
      </c>
      <c r="B439" s="8" t="s">
        <v>290</v>
      </c>
      <c r="C439" s="6" t="s">
        <v>1816</v>
      </c>
      <c r="D439" s="7" t="s">
        <v>9794</v>
      </c>
      <c r="E439" s="6" t="s">
        <v>290</v>
      </c>
      <c r="F439" s="1"/>
      <c r="G439" s="1"/>
      <c r="J439" s="1" t="s">
        <v>9795</v>
      </c>
      <c r="K439" s="2" t="s">
        <v>7742</v>
      </c>
      <c r="L439" s="9" t="s">
        <v>8372</v>
      </c>
      <c r="P439" s="7" t="s">
        <v>1241</v>
      </c>
      <c r="AV439" s="1" t="s">
        <v>1502</v>
      </c>
      <c r="BG439" s="7" t="s">
        <v>1503</v>
      </c>
      <c r="BH439" s="1" t="s">
        <v>1872</v>
      </c>
      <c r="BI439" s="1" t="s">
        <v>3310</v>
      </c>
      <c r="BJ439" s="1" t="s">
        <v>1875</v>
      </c>
      <c r="BK439" s="2" t="s">
        <v>3311</v>
      </c>
    </row>
    <row r="440" spans="1:67" ht="409.6" x14ac:dyDescent="0.45">
      <c r="A440" s="5">
        <v>439</v>
      </c>
      <c r="B440" s="8" t="s">
        <v>1647</v>
      </c>
      <c r="C440" s="6" t="s">
        <v>1816</v>
      </c>
      <c r="D440" s="7" t="s">
        <v>9794</v>
      </c>
      <c r="E440" s="1" t="s">
        <v>1251</v>
      </c>
      <c r="F440" s="1" t="s">
        <v>8991</v>
      </c>
      <c r="G440" s="1"/>
      <c r="J440" s="1" t="s">
        <v>9795</v>
      </c>
      <c r="K440" s="2" t="s">
        <v>7743</v>
      </c>
      <c r="L440" s="4" t="s">
        <v>8373</v>
      </c>
      <c r="P440" s="7" t="s">
        <v>1241</v>
      </c>
      <c r="Q440" s="14"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R440" s="14"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S440" s="15"/>
      <c r="AU440" s="15"/>
      <c r="AV440" s="1" t="s">
        <v>1502</v>
      </c>
      <c r="BG440" s="7" t="s">
        <v>1503</v>
      </c>
      <c r="BH440" s="1" t="s">
        <v>1947</v>
      </c>
      <c r="BI440" s="2" t="s">
        <v>3312</v>
      </c>
      <c r="BJ440" s="1" t="s">
        <v>1959</v>
      </c>
      <c r="BK440" s="1" t="s">
        <v>3313</v>
      </c>
      <c r="BL440" s="1" t="s">
        <v>1875</v>
      </c>
      <c r="BM440" s="2" t="s">
        <v>3314</v>
      </c>
    </row>
    <row r="441" spans="1:67" ht="216" x14ac:dyDescent="0.45">
      <c r="A441" s="5">
        <v>440</v>
      </c>
      <c r="B441" s="8" t="s">
        <v>1648</v>
      </c>
      <c r="C441" s="6" t="s">
        <v>1816</v>
      </c>
      <c r="D441" s="7" t="s">
        <v>9794</v>
      </c>
      <c r="E441" s="1" t="s">
        <v>46</v>
      </c>
      <c r="F441" s="1" t="s">
        <v>4276</v>
      </c>
      <c r="G441" s="1"/>
      <c r="J441" s="1" t="s">
        <v>9795</v>
      </c>
      <c r="K441" s="2" t="s">
        <v>7744</v>
      </c>
      <c r="L441" s="4" t="s">
        <v>11778</v>
      </c>
      <c r="M441" s="1" t="s">
        <v>12180</v>
      </c>
      <c r="P441" s="7" t="s">
        <v>1241</v>
      </c>
      <c r="Q441" s="14"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441" s="14"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S441" s="14"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T441" s="14"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U441" s="13"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U441" s="15"/>
      <c r="AV441" s="1" t="s">
        <v>1502</v>
      </c>
      <c r="BG441" s="7" t="s">
        <v>1503</v>
      </c>
      <c r="BH441" s="1" t="s">
        <v>1947</v>
      </c>
      <c r="BI441" s="2" t="s">
        <v>3315</v>
      </c>
      <c r="BJ441" s="1" t="s">
        <v>1959</v>
      </c>
      <c r="BK441" s="1" t="s">
        <v>3316</v>
      </c>
      <c r="BL441" s="1" t="s">
        <v>1877</v>
      </c>
      <c r="BM441" s="2" t="s">
        <v>3317</v>
      </c>
    </row>
    <row r="442" spans="1:67" ht="162" x14ac:dyDescent="0.45">
      <c r="A442" s="5">
        <v>441</v>
      </c>
      <c r="B442" s="8" t="s">
        <v>291</v>
      </c>
      <c r="C442" s="6" t="s">
        <v>6851</v>
      </c>
      <c r="D442" s="7" t="s">
        <v>9794</v>
      </c>
      <c r="E442" s="1" t="s">
        <v>1467</v>
      </c>
      <c r="F442" s="1" t="s">
        <v>1517</v>
      </c>
      <c r="G442" s="1"/>
      <c r="J442" s="1" t="s">
        <v>9795</v>
      </c>
      <c r="K442" s="2" t="s">
        <v>7745</v>
      </c>
      <c r="L442" s="4" t="s">
        <v>8374</v>
      </c>
      <c r="M442" s="1" t="s">
        <v>12210</v>
      </c>
      <c r="P442" s="7" t="s">
        <v>1241</v>
      </c>
      <c r="Q442" s="14"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442" s="14"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442" s="13"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T442" s="13"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442"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V442"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U442" s="15"/>
      <c r="AV442" s="1" t="s">
        <v>1502</v>
      </c>
      <c r="BG442" s="7" t="s">
        <v>1503</v>
      </c>
      <c r="BH442" s="1" t="s">
        <v>1947</v>
      </c>
      <c r="BI442" s="2" t="s">
        <v>7746</v>
      </c>
      <c r="BJ442" s="1" t="s">
        <v>2036</v>
      </c>
      <c r="BK442" s="1" t="s">
        <v>3318</v>
      </c>
      <c r="BL442" s="1" t="s">
        <v>1959</v>
      </c>
      <c r="BM442" s="2" t="s">
        <v>3319</v>
      </c>
      <c r="BN442" s="1" t="s">
        <v>1875</v>
      </c>
      <c r="BO442" s="2" t="s">
        <v>3320</v>
      </c>
    </row>
    <row r="443" spans="1:67" ht="234" x14ac:dyDescent="0.45">
      <c r="A443" s="5">
        <v>442</v>
      </c>
      <c r="B443" s="8" t="s">
        <v>1649</v>
      </c>
      <c r="C443" s="6" t="s">
        <v>6851</v>
      </c>
      <c r="D443" s="7" t="s">
        <v>9794</v>
      </c>
      <c r="E443" s="1" t="s">
        <v>27</v>
      </c>
      <c r="F443" s="1" t="s">
        <v>7747</v>
      </c>
      <c r="G443" s="1" t="s">
        <v>1584</v>
      </c>
      <c r="J443" s="1" t="s">
        <v>9795</v>
      </c>
      <c r="K443" s="2" t="s">
        <v>7748</v>
      </c>
      <c r="L443" s="4" t="s">
        <v>8375</v>
      </c>
      <c r="M443" s="1" t="s">
        <v>12216</v>
      </c>
      <c r="P443" s="7" t="s">
        <v>1241</v>
      </c>
      <c r="Q443" s="14"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443"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S443" s="1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T443" s="14"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443"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V443"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443" s="15"/>
      <c r="AV443" s="1" t="s">
        <v>1502</v>
      </c>
      <c r="BG443" s="7" t="s">
        <v>1503</v>
      </c>
      <c r="BH443" s="1" t="s">
        <v>1947</v>
      </c>
      <c r="BI443" s="2" t="s">
        <v>3321</v>
      </c>
      <c r="BJ443" s="1" t="s">
        <v>2036</v>
      </c>
      <c r="BK443" s="2" t="s">
        <v>3322</v>
      </c>
      <c r="BL443" s="1" t="s">
        <v>1959</v>
      </c>
      <c r="BM443" s="1" t="s">
        <v>3323</v>
      </c>
      <c r="BN443" s="1" t="s">
        <v>1875</v>
      </c>
      <c r="BO443" s="2" t="s">
        <v>3324</v>
      </c>
    </row>
    <row r="444" spans="1:67" ht="234" x14ac:dyDescent="0.45">
      <c r="A444" s="5">
        <v>443</v>
      </c>
      <c r="B444" s="8" t="s">
        <v>1650</v>
      </c>
      <c r="C444" s="6" t="s">
        <v>6851</v>
      </c>
      <c r="D444" s="7" t="s">
        <v>9794</v>
      </c>
      <c r="E444" s="1" t="s">
        <v>1251</v>
      </c>
      <c r="F444" s="1" t="s">
        <v>8992</v>
      </c>
      <c r="G444" s="1" t="s">
        <v>1584</v>
      </c>
      <c r="J444" s="1" t="s">
        <v>9795</v>
      </c>
      <c r="K444" s="2" t="s">
        <v>7749</v>
      </c>
      <c r="L444" s="3" t="s">
        <v>8376</v>
      </c>
      <c r="P444" s="7" t="s">
        <v>1241</v>
      </c>
      <c r="Q444" s="14"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444" s="14"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S444" s="14"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T444" s="13"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AU444" s="15"/>
      <c r="AV444" s="1" t="s">
        <v>1502</v>
      </c>
      <c r="BG444" s="7" t="s">
        <v>1503</v>
      </c>
      <c r="BH444" s="1" t="s">
        <v>1947</v>
      </c>
      <c r="BI444" s="2" t="s">
        <v>5079</v>
      </c>
      <c r="BJ444" s="1" t="s">
        <v>1959</v>
      </c>
      <c r="BK444" s="2" t="s">
        <v>3325</v>
      </c>
      <c r="BL444" s="1" t="s">
        <v>1875</v>
      </c>
      <c r="BM444" s="2" t="s">
        <v>3326</v>
      </c>
    </row>
    <row r="445" spans="1:67" ht="216" x14ac:dyDescent="0.45">
      <c r="A445" s="5">
        <v>444</v>
      </c>
      <c r="B445" s="8" t="s">
        <v>292</v>
      </c>
      <c r="C445" s="6" t="s">
        <v>6851</v>
      </c>
      <c r="D445" s="7" t="s">
        <v>9794</v>
      </c>
      <c r="E445" s="1" t="s">
        <v>1651</v>
      </c>
      <c r="F445" s="1" t="s">
        <v>1652</v>
      </c>
      <c r="G445" s="1" t="s">
        <v>1653</v>
      </c>
      <c r="J445" s="1" t="s">
        <v>9795</v>
      </c>
      <c r="K445" s="2" t="s">
        <v>7750</v>
      </c>
      <c r="L445" s="9" t="s">
        <v>8377</v>
      </c>
      <c r="P445" s="7" t="s">
        <v>1241</v>
      </c>
      <c r="AU445" s="15"/>
      <c r="AV445" s="1" t="s">
        <v>1502</v>
      </c>
      <c r="BG445" s="7" t="s">
        <v>1503</v>
      </c>
      <c r="BH445" s="1" t="s">
        <v>1872</v>
      </c>
      <c r="BI445" s="2" t="s">
        <v>3327</v>
      </c>
      <c r="BJ445" s="1" t="s">
        <v>1875</v>
      </c>
      <c r="BK445" s="2" t="s">
        <v>3328</v>
      </c>
      <c r="BL445" s="1" t="s">
        <v>1877</v>
      </c>
      <c r="BM445" s="2" t="s">
        <v>3329</v>
      </c>
    </row>
    <row r="446" spans="1:67" ht="126" x14ac:dyDescent="0.45">
      <c r="A446" s="5">
        <v>445</v>
      </c>
      <c r="B446" s="8" t="s">
        <v>293</v>
      </c>
      <c r="C446" s="6" t="s">
        <v>6851</v>
      </c>
      <c r="D446" s="7" t="s">
        <v>9794</v>
      </c>
      <c r="E446" s="6" t="s">
        <v>3330</v>
      </c>
      <c r="F446" s="1" t="s">
        <v>3331</v>
      </c>
      <c r="G446" s="1"/>
      <c r="J446" s="1" t="s">
        <v>9795</v>
      </c>
      <c r="K446" s="2" t="s">
        <v>7751</v>
      </c>
      <c r="L446" s="9" t="s">
        <v>8378</v>
      </c>
      <c r="P446" s="7" t="s">
        <v>1241</v>
      </c>
      <c r="Q446" s="15"/>
      <c r="AU446" s="15"/>
      <c r="AV446" s="1" t="s">
        <v>1502</v>
      </c>
      <c r="BG446" s="7" t="s">
        <v>1503</v>
      </c>
      <c r="BH446" s="1" t="s">
        <v>1947</v>
      </c>
      <c r="BI446" s="2" t="s">
        <v>7752</v>
      </c>
      <c r="BJ446" s="1" t="s">
        <v>1967</v>
      </c>
      <c r="BK446" s="2" t="s">
        <v>3332</v>
      </c>
      <c r="BL446" s="1" t="s">
        <v>1877</v>
      </c>
      <c r="BM446" s="2" t="s">
        <v>3333</v>
      </c>
    </row>
    <row r="447" spans="1:67" ht="270" x14ac:dyDescent="0.45">
      <c r="A447" s="5">
        <v>446</v>
      </c>
      <c r="B447" s="8" t="s">
        <v>1654</v>
      </c>
      <c r="C447" s="6" t="s">
        <v>6851</v>
      </c>
      <c r="D447" s="7" t="s">
        <v>9794</v>
      </c>
      <c r="E447" s="1" t="s">
        <v>1338</v>
      </c>
      <c r="F447" s="1" t="s">
        <v>8993</v>
      </c>
      <c r="G447" s="1"/>
      <c r="J447" s="1" t="s">
        <v>9795</v>
      </c>
      <c r="K447" s="2" t="s">
        <v>7753</v>
      </c>
      <c r="L447" s="4" t="s">
        <v>8379</v>
      </c>
      <c r="P447" s="7" t="s">
        <v>1241</v>
      </c>
      <c r="Q447" s="14" t="str">
        <f>INDEX($L:$L, MATCH("essential", $B:$B, 0))</f>
        <v>&lt;span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v>
      </c>
      <c r="R447" s="14" t="str">
        <f>INDEX($L:$L, MATCH("interest", $B:$B, 0))</f>
        <v>&lt;span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v>
      </c>
      <c r="S447" s="14" t="str">
        <f>INDEX($L:$L, MATCH("represent", $B:$B, 0))</f>
        <v>&lt;span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v>
      </c>
      <c r="AU447" s="15"/>
      <c r="AV447" s="1" t="s">
        <v>1502</v>
      </c>
      <c r="BG447" s="7" t="s">
        <v>1503</v>
      </c>
      <c r="BH447" s="1" t="s">
        <v>1947</v>
      </c>
      <c r="BI447" s="2" t="s">
        <v>3334</v>
      </c>
      <c r="BJ447" s="1" t="s">
        <v>1959</v>
      </c>
      <c r="BK447" s="2" t="s">
        <v>3335</v>
      </c>
      <c r="BL447" s="1" t="s">
        <v>1875</v>
      </c>
      <c r="BM447" s="2" t="s">
        <v>3336</v>
      </c>
    </row>
    <row r="448" spans="1:67" ht="108" x14ac:dyDescent="0.45">
      <c r="A448" s="5">
        <v>447</v>
      </c>
      <c r="B448" s="8" t="s">
        <v>294</v>
      </c>
      <c r="C448" s="6" t="s">
        <v>6851</v>
      </c>
      <c r="D448" s="7" t="s">
        <v>9794</v>
      </c>
      <c r="E448" s="1" t="s">
        <v>46</v>
      </c>
      <c r="F448" s="1" t="s">
        <v>1655</v>
      </c>
      <c r="G448" s="1"/>
      <c r="J448" s="1" t="s">
        <v>9795</v>
      </c>
      <c r="K448" s="2"/>
      <c r="L448" s="9" t="s">
        <v>8380</v>
      </c>
      <c r="P448" s="7" t="s">
        <v>1241</v>
      </c>
      <c r="Q448" s="13" t="str">
        <f>INDEX($L:$L, MATCH("faith", $B:$B, 0))</f>
        <v>&lt;span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v>
      </c>
      <c r="R448" s="13" t="str">
        <f>INDEX($L:$L, MATCH("federal", $B:$B, 0))</f>
        <v>&lt;span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v>
      </c>
      <c r="AU448" s="15"/>
      <c r="AV448" s="1" t="s">
        <v>1502</v>
      </c>
      <c r="BG448" s="7" t="s">
        <v>1503</v>
      </c>
      <c r="BH448" s="1" t="s">
        <v>1947</v>
      </c>
      <c r="BI448" s="2" t="s">
        <v>3337</v>
      </c>
      <c r="BJ448" s="1" t="s">
        <v>1959</v>
      </c>
      <c r="BK448" s="2" t="s">
        <v>294</v>
      </c>
      <c r="BL448" s="1" t="s">
        <v>1875</v>
      </c>
      <c r="BM448" s="2" t="s">
        <v>3338</v>
      </c>
      <c r="BN448" s="1" t="s">
        <v>1877</v>
      </c>
      <c r="BO448" s="2" t="s">
        <v>3339</v>
      </c>
    </row>
    <row r="449" spans="1:69" ht="72" x14ac:dyDescent="0.45">
      <c r="A449" s="5">
        <v>448</v>
      </c>
      <c r="B449" s="8" t="s">
        <v>295</v>
      </c>
      <c r="C449" s="6" t="s">
        <v>6851</v>
      </c>
      <c r="D449" s="7" t="s">
        <v>9794</v>
      </c>
      <c r="E449" s="1" t="s">
        <v>295</v>
      </c>
      <c r="F449" s="1"/>
      <c r="G449" s="1"/>
      <c r="J449" s="1" t="s">
        <v>9795</v>
      </c>
      <c r="K449" s="2" t="s">
        <v>7754</v>
      </c>
      <c r="L449" s="9" t="s">
        <v>8381</v>
      </c>
      <c r="P449" s="7" t="s">
        <v>1241</v>
      </c>
      <c r="AV449" s="1" t="s">
        <v>1502</v>
      </c>
      <c r="BG449" s="7" t="s">
        <v>1503</v>
      </c>
      <c r="BH449" s="1" t="s">
        <v>1872</v>
      </c>
      <c r="BI449" s="1" t="s">
        <v>3340</v>
      </c>
    </row>
    <row r="450" spans="1:69" ht="180" x14ac:dyDescent="0.45">
      <c r="A450" s="5">
        <v>449</v>
      </c>
      <c r="B450" s="8" t="s">
        <v>1656</v>
      </c>
      <c r="C450" s="6" t="s">
        <v>6851</v>
      </c>
      <c r="D450" s="7" t="s">
        <v>9794</v>
      </c>
      <c r="E450" s="1" t="s">
        <v>27</v>
      </c>
      <c r="F450" s="1" t="s">
        <v>7755</v>
      </c>
      <c r="G450" s="1" t="s">
        <v>1517</v>
      </c>
      <c r="J450" s="1" t="s">
        <v>9795</v>
      </c>
      <c r="K450" s="2"/>
      <c r="L450" s="3" t="s">
        <v>8382</v>
      </c>
      <c r="M450" s="1" t="s">
        <v>12216</v>
      </c>
      <c r="P450" s="7" t="s">
        <v>1241</v>
      </c>
      <c r="Q450" s="14"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450"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S450" s="1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T450" s="14"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450"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V450"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450" s="15"/>
      <c r="AV450" s="1" t="s">
        <v>1502</v>
      </c>
      <c r="BG450" s="7" t="s">
        <v>1503</v>
      </c>
      <c r="BH450" s="1" t="s">
        <v>1947</v>
      </c>
      <c r="BI450" s="2" t="s">
        <v>7756</v>
      </c>
      <c r="BJ450" s="1" t="s">
        <v>1959</v>
      </c>
      <c r="BK450" s="1" t="s">
        <v>3341</v>
      </c>
      <c r="BL450" s="1" t="s">
        <v>1875</v>
      </c>
      <c r="BM450" s="2" t="s">
        <v>3342</v>
      </c>
    </row>
    <row r="451" spans="1:69" ht="198" x14ac:dyDescent="0.45">
      <c r="A451" s="5">
        <v>450</v>
      </c>
      <c r="B451" s="8" t="s">
        <v>296</v>
      </c>
      <c r="C451" s="6" t="s">
        <v>6851</v>
      </c>
      <c r="D451" s="7" t="s">
        <v>9794</v>
      </c>
      <c r="E451" s="1" t="s">
        <v>1657</v>
      </c>
      <c r="F451" s="1" t="s">
        <v>1658</v>
      </c>
      <c r="G451" s="1"/>
      <c r="J451" s="1" t="s">
        <v>9795</v>
      </c>
      <c r="K451" s="2" t="s">
        <v>7757</v>
      </c>
      <c r="L451" s="9" t="s">
        <v>8383</v>
      </c>
      <c r="P451" s="7" t="s">
        <v>1241</v>
      </c>
      <c r="AU451" s="15"/>
      <c r="AV451" s="1" t="s">
        <v>1502</v>
      </c>
      <c r="BG451" s="7" t="s">
        <v>1503</v>
      </c>
      <c r="BH451" s="1" t="s">
        <v>2458</v>
      </c>
      <c r="BI451" s="2" t="s">
        <v>3343</v>
      </c>
      <c r="BJ451" s="1" t="s">
        <v>2036</v>
      </c>
      <c r="BK451" s="1" t="s">
        <v>3344</v>
      </c>
      <c r="BL451" s="1" t="s">
        <v>1959</v>
      </c>
      <c r="BM451" s="2" t="s">
        <v>3345</v>
      </c>
      <c r="BN451" s="1" t="s">
        <v>1877</v>
      </c>
      <c r="BO451" s="2" t="s">
        <v>3346</v>
      </c>
    </row>
    <row r="452" spans="1:69" ht="180" x14ac:dyDescent="0.45">
      <c r="A452" s="5">
        <v>451</v>
      </c>
      <c r="B452" s="8" t="s">
        <v>1659</v>
      </c>
      <c r="C452" s="6" t="s">
        <v>6851</v>
      </c>
      <c r="D452" s="7" t="s">
        <v>9794</v>
      </c>
      <c r="E452" s="1" t="s">
        <v>3347</v>
      </c>
      <c r="F452" s="1" t="s">
        <v>49</v>
      </c>
      <c r="G452" s="1"/>
      <c r="J452" s="1" t="s">
        <v>9795</v>
      </c>
      <c r="K452" s="2" t="s">
        <v>7758</v>
      </c>
      <c r="L452" s="4" t="s">
        <v>11670</v>
      </c>
      <c r="P452" s="7" t="s">
        <v>1241</v>
      </c>
      <c r="Q452" s="1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R452" s="13" t="str">
        <f>INDEX($L:$L, MATCH("cattle", $B:$B, 0))</f>
        <v>&lt;span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v>
      </c>
      <c r="AU452" s="15"/>
      <c r="AV452" s="1" t="s">
        <v>1502</v>
      </c>
      <c r="BG452" s="7" t="s">
        <v>1503</v>
      </c>
      <c r="BH452" s="1" t="s">
        <v>1947</v>
      </c>
      <c r="BI452" s="2" t="s">
        <v>3348</v>
      </c>
      <c r="BJ452" s="1" t="s">
        <v>1967</v>
      </c>
      <c r="BK452" s="1" t="s">
        <v>3349</v>
      </c>
      <c r="BL452" s="1" t="s">
        <v>1959</v>
      </c>
      <c r="BM452" s="1" t="s">
        <v>297</v>
      </c>
      <c r="BN452" s="1" t="s">
        <v>1875</v>
      </c>
      <c r="BO452" s="2" t="s">
        <v>3350</v>
      </c>
      <c r="BP452" s="1" t="s">
        <v>1877</v>
      </c>
      <c r="BQ452" s="2" t="s">
        <v>3351</v>
      </c>
    </row>
    <row r="453" spans="1:69" ht="108" x14ac:dyDescent="0.45">
      <c r="A453" s="5">
        <v>452</v>
      </c>
      <c r="B453" s="8" t="s">
        <v>298</v>
      </c>
      <c r="C453" s="6" t="s">
        <v>6851</v>
      </c>
      <c r="D453" s="7" t="s">
        <v>9794</v>
      </c>
      <c r="E453" s="1" t="s">
        <v>1660</v>
      </c>
      <c r="F453" s="1" t="s">
        <v>1362</v>
      </c>
      <c r="G453" s="1"/>
      <c r="J453" s="1" t="s">
        <v>9795</v>
      </c>
      <c r="K453" s="2" t="s">
        <v>7759</v>
      </c>
      <c r="L453" s="9" t="s">
        <v>8384</v>
      </c>
      <c r="P453" s="7" t="s">
        <v>1241</v>
      </c>
      <c r="Q453" s="13"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R453" s="13"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AU453" s="15"/>
      <c r="AV453" s="1" t="s">
        <v>1502</v>
      </c>
      <c r="BG453" s="7" t="s">
        <v>1503</v>
      </c>
      <c r="BH453" s="1" t="s">
        <v>1872</v>
      </c>
      <c r="BI453" s="2" t="s">
        <v>3352</v>
      </c>
      <c r="BJ453" s="1" t="s">
        <v>1875</v>
      </c>
      <c r="BK453" s="2" t="s">
        <v>3353</v>
      </c>
      <c r="BL453" s="1" t="s">
        <v>1877</v>
      </c>
      <c r="BM453" s="2" t="s">
        <v>3354</v>
      </c>
    </row>
    <row r="454" spans="1:69" ht="306" x14ac:dyDescent="0.45">
      <c r="A454" s="5">
        <v>453</v>
      </c>
      <c r="B454" s="8" t="s">
        <v>1661</v>
      </c>
      <c r="C454" s="6" t="s">
        <v>6851</v>
      </c>
      <c r="D454" s="7" t="s">
        <v>9794</v>
      </c>
      <c r="E454" s="1" t="s">
        <v>7760</v>
      </c>
      <c r="F454" s="1" t="s">
        <v>1584</v>
      </c>
      <c r="G454" s="1"/>
      <c r="J454" s="1" t="s">
        <v>9795</v>
      </c>
      <c r="K454" s="2" t="s">
        <v>7456</v>
      </c>
      <c r="L454" s="4" t="s">
        <v>8385</v>
      </c>
      <c r="M454" s="1" t="s">
        <v>12190</v>
      </c>
      <c r="P454" s="7" t="s">
        <v>1241</v>
      </c>
      <c r="Q454"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454" s="1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454"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454" s="14"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454" s="1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V454" s="14"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454" s="14"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454" s="14"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454"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454"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454" s="1" t="s">
        <v>1502</v>
      </c>
      <c r="BG454" s="7" t="s">
        <v>1503</v>
      </c>
      <c r="BH454" s="1" t="s">
        <v>1976</v>
      </c>
      <c r="BI454" s="1" t="s">
        <v>3355</v>
      </c>
      <c r="BJ454" s="1" t="s">
        <v>1978</v>
      </c>
      <c r="BK454" s="2" t="s">
        <v>7761</v>
      </c>
      <c r="BL454" s="1" t="s">
        <v>1875</v>
      </c>
      <c r="BM454" s="2" t="s">
        <v>3356</v>
      </c>
      <c r="BN454" s="1" t="s">
        <v>1877</v>
      </c>
      <c r="BO454" s="2" t="s">
        <v>3357</v>
      </c>
    </row>
    <row r="455" spans="1:69" ht="270" x14ac:dyDescent="0.45">
      <c r="A455" s="5">
        <v>454</v>
      </c>
      <c r="B455" s="8" t="s">
        <v>1662</v>
      </c>
      <c r="C455" s="6" t="s">
        <v>6851</v>
      </c>
      <c r="D455" s="7" t="s">
        <v>9794</v>
      </c>
      <c r="E455" s="1" t="s">
        <v>1251</v>
      </c>
      <c r="F455" s="1" t="s">
        <v>85</v>
      </c>
      <c r="G455" s="1"/>
      <c r="J455" s="1" t="s">
        <v>9795</v>
      </c>
      <c r="K455" s="2" t="s">
        <v>7762</v>
      </c>
      <c r="L455" s="4" t="s">
        <v>8386</v>
      </c>
      <c r="M455" s="1" t="s">
        <v>12187</v>
      </c>
      <c r="P455" s="7" t="s">
        <v>1241</v>
      </c>
      <c r="Q455" s="1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455"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S455"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T455" s="1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U455" s="1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455" s="14"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455"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455" s="15"/>
      <c r="AV455" s="1" t="s">
        <v>1502</v>
      </c>
      <c r="BG455" s="7" t="s">
        <v>1503</v>
      </c>
      <c r="BH455" s="1" t="s">
        <v>1947</v>
      </c>
      <c r="BI455" s="2" t="s">
        <v>3358</v>
      </c>
      <c r="BJ455" s="1" t="s">
        <v>1959</v>
      </c>
      <c r="BK455" s="2" t="s">
        <v>3359</v>
      </c>
      <c r="BL455" s="1" t="s">
        <v>1875</v>
      </c>
      <c r="BM455" s="2" t="s">
        <v>3360</v>
      </c>
      <c r="BN455" s="1" t="s">
        <v>1877</v>
      </c>
      <c r="BO455" s="2" t="s">
        <v>3361</v>
      </c>
    </row>
    <row r="456" spans="1:69" ht="216" x14ac:dyDescent="0.45">
      <c r="A456" s="5">
        <v>455</v>
      </c>
      <c r="B456" s="8" t="s">
        <v>1663</v>
      </c>
      <c r="C456" s="6" t="s">
        <v>6851</v>
      </c>
      <c r="D456" s="7" t="s">
        <v>9794</v>
      </c>
      <c r="E456" s="1" t="s">
        <v>299</v>
      </c>
      <c r="F456" s="1"/>
      <c r="G456" s="1"/>
      <c r="J456" s="1" t="s">
        <v>9795</v>
      </c>
      <c r="K456" s="2"/>
      <c r="L456" s="3" t="s">
        <v>8387</v>
      </c>
      <c r="M456" s="1" t="s">
        <v>12208</v>
      </c>
      <c r="P456" s="7" t="s">
        <v>1241</v>
      </c>
      <c r="Q456" s="1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456" s="1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S456" s="1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T456" s="1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456" s="1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456" s="1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W456" s="15"/>
      <c r="X456" s="15"/>
      <c r="Y456" s="15"/>
      <c r="AU456" s="15"/>
      <c r="AV456" s="1" t="s">
        <v>1502</v>
      </c>
      <c r="BG456" s="7" t="s">
        <v>1503</v>
      </c>
      <c r="BH456" s="1" t="s">
        <v>1947</v>
      </c>
      <c r="BI456" s="2" t="s">
        <v>3362</v>
      </c>
      <c r="BJ456" s="1" t="s">
        <v>1959</v>
      </c>
      <c r="BK456" s="1" t="s">
        <v>3363</v>
      </c>
      <c r="BL456" s="1" t="s">
        <v>1877</v>
      </c>
      <c r="BM456" s="2" t="s">
        <v>3364</v>
      </c>
    </row>
    <row r="457" spans="1:69" ht="252" x14ac:dyDescent="0.45">
      <c r="A457" s="5">
        <v>456</v>
      </c>
      <c r="B457" s="8" t="s">
        <v>1664</v>
      </c>
      <c r="C457" s="6" t="s">
        <v>6851</v>
      </c>
      <c r="D457" s="7" t="s">
        <v>9794</v>
      </c>
      <c r="E457" s="1" t="s">
        <v>1631</v>
      </c>
      <c r="F457" s="1" t="s">
        <v>7763</v>
      </c>
      <c r="G457" s="1" t="s">
        <v>1522</v>
      </c>
      <c r="J457" s="1" t="s">
        <v>9795</v>
      </c>
      <c r="K457" s="2" t="s">
        <v>8630</v>
      </c>
      <c r="L457" s="4" t="s">
        <v>8388</v>
      </c>
      <c r="M457" s="1" t="s">
        <v>12240</v>
      </c>
      <c r="P457" s="7" t="s">
        <v>1241</v>
      </c>
      <c r="Q457" s="1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457" s="1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457" s="1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T457" s="1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U457"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V457" s="14"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W457" s="1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457" s="1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457"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457"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457" s="15"/>
      <c r="AV457" s="1" t="s">
        <v>1502</v>
      </c>
      <c r="BG457" s="7" t="s">
        <v>1503</v>
      </c>
      <c r="BH457" s="1" t="s">
        <v>1947</v>
      </c>
      <c r="BI457" s="2" t="s">
        <v>7764</v>
      </c>
      <c r="BJ457" s="1" t="s">
        <v>2031</v>
      </c>
      <c r="BK457" s="2" t="s">
        <v>3365</v>
      </c>
      <c r="BL457" s="1" t="s">
        <v>3047</v>
      </c>
      <c r="BM457" s="2" t="s">
        <v>3366</v>
      </c>
    </row>
    <row r="458" spans="1:69" ht="108" x14ac:dyDescent="0.45">
      <c r="A458" s="5">
        <v>457</v>
      </c>
      <c r="B458" s="8" t="s">
        <v>300</v>
      </c>
      <c r="C458" s="6" t="s">
        <v>6851</v>
      </c>
      <c r="D458" s="7" t="s">
        <v>9794</v>
      </c>
      <c r="E458" s="6" t="s">
        <v>300</v>
      </c>
      <c r="F458" s="1"/>
      <c r="G458" s="1"/>
      <c r="J458" s="1" t="s">
        <v>9795</v>
      </c>
      <c r="K458" s="2"/>
      <c r="L458" s="9" t="s">
        <v>8389</v>
      </c>
      <c r="P458" s="7" t="s">
        <v>1241</v>
      </c>
      <c r="AU458" s="15"/>
      <c r="AV458" s="1" t="s">
        <v>1502</v>
      </c>
      <c r="BG458" s="7" t="s">
        <v>1503</v>
      </c>
      <c r="BH458" s="1" t="s">
        <v>1947</v>
      </c>
      <c r="BI458" s="2" t="s">
        <v>7765</v>
      </c>
      <c r="BJ458" s="1" t="s">
        <v>1875</v>
      </c>
      <c r="BK458" s="2" t="s">
        <v>3369</v>
      </c>
      <c r="BL458" s="1" t="s">
        <v>1877</v>
      </c>
      <c r="BM458" s="2" t="s">
        <v>3370</v>
      </c>
    </row>
    <row r="459" spans="1:69" ht="324" x14ac:dyDescent="0.45">
      <c r="A459" s="5">
        <v>458</v>
      </c>
      <c r="B459" s="8" t="s">
        <v>301</v>
      </c>
      <c r="C459" s="6" t="s">
        <v>6851</v>
      </c>
      <c r="D459" s="7" t="s">
        <v>9794</v>
      </c>
      <c r="E459" s="1" t="s">
        <v>1665</v>
      </c>
      <c r="F459" s="1" t="s">
        <v>8994</v>
      </c>
      <c r="G459" s="1" t="s">
        <v>1584</v>
      </c>
      <c r="J459" s="1" t="s">
        <v>9795</v>
      </c>
      <c r="K459" s="2"/>
      <c r="L459" s="3" t="s">
        <v>8557</v>
      </c>
      <c r="P459" s="7" t="s">
        <v>1241</v>
      </c>
      <c r="Q459" s="14"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R459" s="13"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S459" s="13"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AU459" s="15"/>
      <c r="AV459" s="1" t="s">
        <v>1502</v>
      </c>
      <c r="BG459" s="7" t="s">
        <v>1503</v>
      </c>
      <c r="BH459" s="1" t="s">
        <v>1947</v>
      </c>
      <c r="BI459" s="2" t="s">
        <v>7766</v>
      </c>
      <c r="BJ459" s="1" t="s">
        <v>1959</v>
      </c>
      <c r="BK459" s="2" t="s">
        <v>3371</v>
      </c>
      <c r="BL459" s="1" t="s">
        <v>1875</v>
      </c>
      <c r="BM459" s="2" t="s">
        <v>3372</v>
      </c>
      <c r="BN459" s="1" t="s">
        <v>1877</v>
      </c>
      <c r="BO459" s="2" t="s">
        <v>3373</v>
      </c>
    </row>
    <row r="460" spans="1:69" ht="180" x14ac:dyDescent="0.45">
      <c r="A460" s="5">
        <v>459</v>
      </c>
      <c r="B460" s="8" t="s">
        <v>302</v>
      </c>
      <c r="C460" s="6" t="s">
        <v>6851</v>
      </c>
      <c r="D460" s="7" t="s">
        <v>9794</v>
      </c>
      <c r="E460" s="6" t="s">
        <v>3374</v>
      </c>
      <c r="F460" s="1" t="s">
        <v>3375</v>
      </c>
      <c r="G460" s="1" t="s">
        <v>1522</v>
      </c>
      <c r="J460" s="1" t="s">
        <v>9795</v>
      </c>
      <c r="K460" s="2" t="s">
        <v>7767</v>
      </c>
      <c r="L460" s="9" t="s">
        <v>8390</v>
      </c>
      <c r="P460" s="7" t="s">
        <v>1241</v>
      </c>
      <c r="Q460" s="13"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U460" s="15"/>
      <c r="AV460" s="1" t="s">
        <v>1502</v>
      </c>
      <c r="BG460" s="7" t="s">
        <v>1503</v>
      </c>
      <c r="BH460" s="1" t="s">
        <v>1947</v>
      </c>
      <c r="BI460" s="2" t="s">
        <v>3376</v>
      </c>
      <c r="BJ460" s="1" t="s">
        <v>1959</v>
      </c>
      <c r="BK460" s="2" t="s">
        <v>3377</v>
      </c>
      <c r="BL460" s="1" t="s">
        <v>1875</v>
      </c>
      <c r="BM460" s="2" t="s">
        <v>3378</v>
      </c>
      <c r="BN460" s="1" t="s">
        <v>1877</v>
      </c>
      <c r="BO460" s="2" t="s">
        <v>3379</v>
      </c>
    </row>
    <row r="461" spans="1:69" ht="126" x14ac:dyDescent="0.45">
      <c r="A461" s="5">
        <v>460</v>
      </c>
      <c r="B461" s="8" t="s">
        <v>303</v>
      </c>
      <c r="C461" s="6" t="s">
        <v>6851</v>
      </c>
      <c r="D461" s="7" t="s">
        <v>9794</v>
      </c>
      <c r="E461" s="1" t="s">
        <v>303</v>
      </c>
      <c r="F461" s="1"/>
      <c r="G461" s="1"/>
      <c r="J461" s="1" t="s">
        <v>9795</v>
      </c>
      <c r="K461" s="2" t="s">
        <v>7768</v>
      </c>
      <c r="L461" s="9" t="s">
        <v>8391</v>
      </c>
      <c r="P461" s="7" t="s">
        <v>1241</v>
      </c>
      <c r="AV461" s="1" t="s">
        <v>1502</v>
      </c>
      <c r="BG461" s="7" t="s">
        <v>1503</v>
      </c>
      <c r="BH461" s="1" t="s">
        <v>1872</v>
      </c>
      <c r="BI461" s="1" t="s">
        <v>3380</v>
      </c>
      <c r="BJ461" s="1" t="s">
        <v>1875</v>
      </c>
      <c r="BK461" s="2" t="s">
        <v>3381</v>
      </c>
      <c r="BL461" s="1" t="s">
        <v>1877</v>
      </c>
      <c r="BM461" s="2" t="s">
        <v>3382</v>
      </c>
    </row>
    <row r="462" spans="1:69" ht="360" x14ac:dyDescent="0.45">
      <c r="A462" s="5">
        <v>461</v>
      </c>
      <c r="B462" s="8" t="s">
        <v>1666</v>
      </c>
      <c r="C462" s="6" t="s">
        <v>6851</v>
      </c>
      <c r="D462" s="7" t="s">
        <v>9794</v>
      </c>
      <c r="E462" s="1" t="s">
        <v>46</v>
      </c>
      <c r="F462" s="1" t="s">
        <v>1250</v>
      </c>
      <c r="G462" s="1" t="s">
        <v>1895</v>
      </c>
      <c r="J462" s="1" t="s">
        <v>9795</v>
      </c>
      <c r="K462" s="2" t="s">
        <v>7769</v>
      </c>
      <c r="L462" s="3" t="s">
        <v>8392</v>
      </c>
      <c r="M462" s="1" t="s">
        <v>12169</v>
      </c>
      <c r="P462" s="7" t="s">
        <v>1241</v>
      </c>
      <c r="Q462" s="1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462" s="1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462" s="1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462" s="1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462" s="1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V462" s="13"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W462" s="13"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X462"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462" s="15"/>
      <c r="AV462" s="1" t="s">
        <v>1502</v>
      </c>
      <c r="BG462" s="7" t="s">
        <v>1503</v>
      </c>
      <c r="BH462" s="1" t="s">
        <v>1947</v>
      </c>
      <c r="BI462" s="2" t="s">
        <v>3383</v>
      </c>
      <c r="BJ462" s="1" t="s">
        <v>1967</v>
      </c>
      <c r="BK462" s="1" t="s">
        <v>3384</v>
      </c>
      <c r="BL462" s="1" t="s">
        <v>1996</v>
      </c>
      <c r="BM462" s="2" t="s">
        <v>3385</v>
      </c>
      <c r="BN462" s="1" t="s">
        <v>1877</v>
      </c>
      <c r="BO462" s="2" t="s">
        <v>3386</v>
      </c>
    </row>
    <row r="463" spans="1:69" ht="216" x14ac:dyDescent="0.45">
      <c r="A463" s="5">
        <v>462</v>
      </c>
      <c r="B463" s="8" t="s">
        <v>304</v>
      </c>
      <c r="C463" s="6" t="s">
        <v>6851</v>
      </c>
      <c r="D463" s="7" t="s">
        <v>9794</v>
      </c>
      <c r="E463" s="1" t="s">
        <v>7770</v>
      </c>
      <c r="F463" s="1" t="s">
        <v>1522</v>
      </c>
      <c r="G463" s="1"/>
      <c r="J463" s="1" t="s">
        <v>9795</v>
      </c>
      <c r="K463" s="2" t="s">
        <v>7771</v>
      </c>
      <c r="L463" s="9" t="s">
        <v>8393</v>
      </c>
      <c r="P463" s="7" t="s">
        <v>1241</v>
      </c>
      <c r="Q463" s="13" t="str">
        <f>INDEX($L:$L, MATCH("humble", $B:$B, 0))</f>
        <v>&lt;span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v>
      </c>
      <c r="AU463" s="15"/>
      <c r="AV463" s="1" t="s">
        <v>1502</v>
      </c>
      <c r="BG463" s="7" t="s">
        <v>1503</v>
      </c>
      <c r="BH463" s="1" t="s">
        <v>1947</v>
      </c>
      <c r="BI463" s="2" t="s">
        <v>3387</v>
      </c>
      <c r="BJ463" s="1" t="s">
        <v>1959</v>
      </c>
      <c r="BK463" s="2" t="s">
        <v>3388</v>
      </c>
      <c r="BL463" s="1" t="s">
        <v>1875</v>
      </c>
      <c r="BM463" s="2" t="s">
        <v>3389</v>
      </c>
    </row>
    <row r="464" spans="1:69" ht="180" x14ac:dyDescent="0.45">
      <c r="A464" s="5">
        <v>463</v>
      </c>
      <c r="B464" s="8" t="s">
        <v>305</v>
      </c>
      <c r="C464" s="6" t="s">
        <v>6851</v>
      </c>
      <c r="D464" s="7" t="s">
        <v>9794</v>
      </c>
      <c r="E464" s="1" t="s">
        <v>1667</v>
      </c>
      <c r="F464" s="1" t="s">
        <v>1668</v>
      </c>
      <c r="G464" s="1"/>
      <c r="J464" s="1" t="s">
        <v>9795</v>
      </c>
      <c r="K464" s="2" t="s">
        <v>7772</v>
      </c>
      <c r="L464" s="9" t="s">
        <v>8394</v>
      </c>
      <c r="P464" s="7" t="s">
        <v>1241</v>
      </c>
      <c r="AU464" s="15"/>
      <c r="AV464" s="1" t="s">
        <v>1502</v>
      </c>
      <c r="BG464" s="7" t="s">
        <v>1503</v>
      </c>
      <c r="BH464" s="1" t="s">
        <v>2458</v>
      </c>
      <c r="BI464" s="2" t="s">
        <v>3390</v>
      </c>
      <c r="BJ464" s="1" t="s">
        <v>1996</v>
      </c>
      <c r="BK464" s="1" t="s">
        <v>3391</v>
      </c>
      <c r="BL464" s="1" t="s">
        <v>1877</v>
      </c>
      <c r="BM464" s="2" t="s">
        <v>3392</v>
      </c>
    </row>
    <row r="465" spans="1:71" ht="270" x14ac:dyDescent="0.45">
      <c r="A465" s="5">
        <v>464</v>
      </c>
      <c r="B465" s="8" t="s">
        <v>1669</v>
      </c>
      <c r="C465" s="6" t="s">
        <v>6851</v>
      </c>
      <c r="D465" s="7" t="s">
        <v>9794</v>
      </c>
      <c r="E465" s="1" t="s">
        <v>31</v>
      </c>
      <c r="F465" s="1" t="s">
        <v>4809</v>
      </c>
      <c r="G465" s="1"/>
      <c r="J465" s="1" t="s">
        <v>9795</v>
      </c>
      <c r="K465" s="2" t="s">
        <v>7773</v>
      </c>
      <c r="L465" s="3" t="s">
        <v>11671</v>
      </c>
      <c r="P465" s="7" t="s">
        <v>1241</v>
      </c>
      <c r="Q465" s="14"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R465" s="14"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S465" s="14"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T465" s="14"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U465" s="14"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465"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AU465" s="15"/>
      <c r="AV465" s="1" t="s">
        <v>1502</v>
      </c>
      <c r="BG465" s="7" t="s">
        <v>1503</v>
      </c>
      <c r="BH465" s="1" t="s">
        <v>1947</v>
      </c>
      <c r="BI465" s="2" t="s">
        <v>3393</v>
      </c>
      <c r="BJ465" s="1" t="s">
        <v>1959</v>
      </c>
      <c r="BK465" s="2" t="s">
        <v>3394</v>
      </c>
      <c r="BL465" s="1" t="s">
        <v>1875</v>
      </c>
      <c r="BM465" s="2" t="s">
        <v>3395</v>
      </c>
    </row>
    <row r="466" spans="1:71" ht="198" x14ac:dyDescent="0.45">
      <c r="A466" s="5">
        <v>465</v>
      </c>
      <c r="B466" s="8" t="s">
        <v>306</v>
      </c>
      <c r="C466" s="6" t="s">
        <v>6851</v>
      </c>
      <c r="D466" s="7" t="s">
        <v>9794</v>
      </c>
      <c r="E466" s="1" t="s">
        <v>306</v>
      </c>
      <c r="F466" s="1"/>
      <c r="G466" s="1"/>
      <c r="J466" s="1" t="s">
        <v>9795</v>
      </c>
      <c r="K466" s="2"/>
      <c r="L466" s="9" t="s">
        <v>8395</v>
      </c>
      <c r="P466" s="7" t="s">
        <v>1241</v>
      </c>
      <c r="AV466" s="1" t="s">
        <v>1502</v>
      </c>
      <c r="BG466" s="7" t="s">
        <v>1503</v>
      </c>
    </row>
    <row r="467" spans="1:71" ht="108" x14ac:dyDescent="0.45">
      <c r="A467" s="5">
        <v>466</v>
      </c>
      <c r="B467" s="8" t="s">
        <v>307</v>
      </c>
      <c r="C467" s="6" t="s">
        <v>6851</v>
      </c>
      <c r="D467" s="7" t="s">
        <v>9794</v>
      </c>
      <c r="E467" s="1" t="s">
        <v>1670</v>
      </c>
      <c r="F467" s="1" t="s">
        <v>1671</v>
      </c>
      <c r="G467" s="1"/>
      <c r="J467" s="1" t="s">
        <v>9795</v>
      </c>
      <c r="K467" s="2" t="s">
        <v>7774</v>
      </c>
      <c r="L467" s="9" t="s">
        <v>8396</v>
      </c>
      <c r="P467" s="7" t="s">
        <v>1241</v>
      </c>
      <c r="AU467" s="15"/>
      <c r="AV467" s="1" t="s">
        <v>1502</v>
      </c>
      <c r="BG467" s="7" t="s">
        <v>1503</v>
      </c>
      <c r="BH467" s="1" t="s">
        <v>1875</v>
      </c>
      <c r="BI467" s="2" t="s">
        <v>3396</v>
      </c>
    </row>
    <row r="468" spans="1:71" ht="162" x14ac:dyDescent="0.45">
      <c r="A468" s="5">
        <v>467</v>
      </c>
      <c r="B468" s="8" t="s">
        <v>308</v>
      </c>
      <c r="C468" s="6" t="s">
        <v>6851</v>
      </c>
      <c r="D468" s="7" t="s">
        <v>9794</v>
      </c>
      <c r="E468" s="1" t="s">
        <v>308</v>
      </c>
      <c r="F468" s="1"/>
      <c r="G468" s="1"/>
      <c r="J468" s="1" t="s">
        <v>9795</v>
      </c>
      <c r="K468" s="1" t="s">
        <v>7775</v>
      </c>
      <c r="L468" s="3" t="s">
        <v>8397</v>
      </c>
      <c r="P468" s="7" t="s">
        <v>1241</v>
      </c>
      <c r="AU468" s="15"/>
      <c r="AV468" s="1" t="s">
        <v>1502</v>
      </c>
      <c r="BG468" s="7" t="s">
        <v>1503</v>
      </c>
      <c r="BH468" s="1" t="s">
        <v>1959</v>
      </c>
      <c r="BI468" s="2" t="s">
        <v>7776</v>
      </c>
      <c r="BJ468" s="1" t="s">
        <v>1875</v>
      </c>
      <c r="BK468" s="2" t="s">
        <v>7777</v>
      </c>
    </row>
    <row r="469" spans="1:71" ht="144" x14ac:dyDescent="0.45">
      <c r="A469" s="5">
        <v>468</v>
      </c>
      <c r="B469" s="8" t="s">
        <v>309</v>
      </c>
      <c r="C469" s="6" t="s">
        <v>6851</v>
      </c>
      <c r="D469" s="7" t="s">
        <v>9794</v>
      </c>
      <c r="E469" s="1" t="s">
        <v>1467</v>
      </c>
      <c r="F469" s="1" t="s">
        <v>1672</v>
      </c>
      <c r="G469" s="1"/>
      <c r="J469" s="1" t="s">
        <v>9795</v>
      </c>
      <c r="K469" s="2" t="s">
        <v>7778</v>
      </c>
      <c r="L469" s="3" t="s">
        <v>8398</v>
      </c>
      <c r="M469" s="1" t="s">
        <v>12176</v>
      </c>
      <c r="P469" s="7" t="s">
        <v>1241</v>
      </c>
      <c r="Q469" s="13"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R469" s="13" t="str">
        <f>INDEX($L:$L, MATCH("enforce", $B:$B, 0))</f>
        <v>&lt;span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v>
      </c>
      <c r="S469" s="13"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AU469" s="15"/>
      <c r="AV469" s="1" t="s">
        <v>1502</v>
      </c>
      <c r="BG469" s="7" t="s">
        <v>1503</v>
      </c>
      <c r="BH469" s="1" t="s">
        <v>1947</v>
      </c>
      <c r="BI469" s="2" t="s">
        <v>3397</v>
      </c>
      <c r="BJ469" s="1" t="s">
        <v>2036</v>
      </c>
      <c r="BK469" s="2" t="s">
        <v>3398</v>
      </c>
      <c r="BL469" s="1" t="s">
        <v>1959</v>
      </c>
      <c r="BM469" s="2" t="s">
        <v>3399</v>
      </c>
      <c r="BN469" s="1" t="s">
        <v>1875</v>
      </c>
      <c r="BO469" s="2" t="s">
        <v>3400</v>
      </c>
    </row>
    <row r="470" spans="1:71" ht="126" x14ac:dyDescent="0.45">
      <c r="A470" s="5">
        <v>469</v>
      </c>
      <c r="B470" s="8" t="s">
        <v>310</v>
      </c>
      <c r="C470" s="6" t="s">
        <v>6851</v>
      </c>
      <c r="D470" s="7" t="s">
        <v>9794</v>
      </c>
      <c r="E470" s="1" t="s">
        <v>1673</v>
      </c>
      <c r="F470" s="1" t="s">
        <v>1674</v>
      </c>
      <c r="G470" s="1"/>
      <c r="J470" s="1" t="s">
        <v>9795</v>
      </c>
      <c r="K470" s="2" t="s">
        <v>7779</v>
      </c>
      <c r="L470" s="9" t="s">
        <v>8399</v>
      </c>
      <c r="P470" s="7" t="s">
        <v>1241</v>
      </c>
      <c r="Q470" s="13" t="str">
        <f>INDEX($L:$L, MATCH("sophisticated", $B:$B, 0))</f>
        <v>&lt;span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v>
      </c>
      <c r="AU470" s="15"/>
      <c r="AV470" s="1" t="s">
        <v>1502</v>
      </c>
      <c r="BG470" s="7" t="s">
        <v>1503</v>
      </c>
      <c r="BH470" s="1" t="s">
        <v>2458</v>
      </c>
      <c r="BI470" s="2" t="s">
        <v>3401</v>
      </c>
      <c r="BJ470" s="1" t="s">
        <v>1947</v>
      </c>
      <c r="BK470" s="1" t="s">
        <v>3402</v>
      </c>
      <c r="BL470" s="1" t="s">
        <v>1959</v>
      </c>
      <c r="BM470" s="1" t="s">
        <v>3403</v>
      </c>
      <c r="BN470" s="1" t="s">
        <v>1875</v>
      </c>
      <c r="BO470" s="2" t="s">
        <v>3404</v>
      </c>
      <c r="BP470" s="1" t="s">
        <v>1877</v>
      </c>
      <c r="BQ470" s="2" t="s">
        <v>3405</v>
      </c>
    </row>
    <row r="471" spans="1:71" ht="90" x14ac:dyDescent="0.45">
      <c r="A471" s="5">
        <v>470</v>
      </c>
      <c r="B471" s="8" t="s">
        <v>311</v>
      </c>
      <c r="C471" s="6" t="s">
        <v>6851</v>
      </c>
      <c r="D471" s="7" t="s">
        <v>9794</v>
      </c>
      <c r="E471" s="1" t="s">
        <v>1675</v>
      </c>
      <c r="F471" s="1" t="s">
        <v>49</v>
      </c>
      <c r="G471" s="1"/>
      <c r="J471" s="1" t="s">
        <v>9795</v>
      </c>
      <c r="K471" s="2"/>
      <c r="L471" s="9" t="s">
        <v>8400</v>
      </c>
      <c r="P471" s="7" t="s">
        <v>1241</v>
      </c>
      <c r="AU471" s="15"/>
      <c r="AV471" s="1" t="s">
        <v>1502</v>
      </c>
      <c r="BG471" s="7" t="s">
        <v>1503</v>
      </c>
      <c r="BH471" s="1" t="s">
        <v>1947</v>
      </c>
      <c r="BI471" s="2" t="s">
        <v>3406</v>
      </c>
      <c r="BJ471" s="1" t="s">
        <v>2036</v>
      </c>
      <c r="BK471" s="2" t="s">
        <v>3407</v>
      </c>
      <c r="BL471" s="1" t="s">
        <v>3408</v>
      </c>
      <c r="BM471" s="2" t="s">
        <v>3409</v>
      </c>
      <c r="BN471" s="1" t="s">
        <v>1877</v>
      </c>
      <c r="BO471" s="2" t="s">
        <v>3410</v>
      </c>
    </row>
    <row r="472" spans="1:71" ht="126" x14ac:dyDescent="0.45">
      <c r="A472" s="5">
        <v>471</v>
      </c>
      <c r="B472" s="8" t="s">
        <v>1676</v>
      </c>
      <c r="C472" s="6" t="s">
        <v>6851</v>
      </c>
      <c r="D472" s="7" t="s">
        <v>9794</v>
      </c>
      <c r="E472" s="1" t="s">
        <v>7780</v>
      </c>
      <c r="F472" s="1" t="s">
        <v>1522</v>
      </c>
      <c r="G472" s="1"/>
      <c r="J472" s="1" t="s">
        <v>9795</v>
      </c>
      <c r="K472" s="2" t="s">
        <v>1677</v>
      </c>
      <c r="L472" s="4" t="s">
        <v>8401</v>
      </c>
      <c r="P472" s="7" t="s">
        <v>1241</v>
      </c>
      <c r="Q472" s="13"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AU472" s="15"/>
      <c r="AV472" s="1" t="s">
        <v>1502</v>
      </c>
      <c r="BG472" s="7" t="s">
        <v>1503</v>
      </c>
      <c r="BH472" s="1" t="s">
        <v>1947</v>
      </c>
      <c r="BI472" s="2" t="s">
        <v>3411</v>
      </c>
      <c r="BJ472" s="1" t="s">
        <v>1959</v>
      </c>
      <c r="BK472" s="1" t="s">
        <v>3412</v>
      </c>
      <c r="BL472" s="1" t="s">
        <v>1875</v>
      </c>
      <c r="BM472" s="2" t="s">
        <v>3413</v>
      </c>
    </row>
    <row r="473" spans="1:71" ht="126" x14ac:dyDescent="0.45">
      <c r="A473" s="5">
        <v>472</v>
      </c>
      <c r="B473" s="8" t="s">
        <v>312</v>
      </c>
      <c r="C473" s="6" t="s">
        <v>6851</v>
      </c>
      <c r="D473" s="7" t="s">
        <v>9794</v>
      </c>
      <c r="E473" s="1" t="s">
        <v>1678</v>
      </c>
      <c r="F473" s="1" t="s">
        <v>1679</v>
      </c>
      <c r="G473" s="1"/>
      <c r="J473" s="1" t="s">
        <v>9795</v>
      </c>
      <c r="K473" s="2"/>
      <c r="L473" s="9" t="s">
        <v>8402</v>
      </c>
      <c r="P473" s="7" t="s">
        <v>1241</v>
      </c>
      <c r="AU473" s="15"/>
      <c r="AV473" s="1" t="s">
        <v>1502</v>
      </c>
      <c r="BG473" s="7" t="s">
        <v>1503</v>
      </c>
      <c r="BH473" s="1" t="s">
        <v>3414</v>
      </c>
      <c r="BI473" s="2" t="s">
        <v>7781</v>
      </c>
      <c r="BJ473" s="1" t="s">
        <v>3415</v>
      </c>
      <c r="BK473" s="1" t="s">
        <v>3416</v>
      </c>
      <c r="BL473" s="1" t="s">
        <v>1877</v>
      </c>
      <c r="BM473" s="2" t="s">
        <v>3417</v>
      </c>
    </row>
    <row r="474" spans="1:71" ht="180" x14ac:dyDescent="0.45">
      <c r="A474" s="5">
        <v>473</v>
      </c>
      <c r="B474" s="8" t="s">
        <v>313</v>
      </c>
      <c r="C474" s="6" t="s">
        <v>6851</v>
      </c>
      <c r="D474" s="7" t="s">
        <v>9794</v>
      </c>
      <c r="E474" s="1" t="s">
        <v>313</v>
      </c>
      <c r="F474" s="1"/>
      <c r="G474" s="1"/>
      <c r="J474" s="1" t="s">
        <v>9795</v>
      </c>
      <c r="K474" s="2" t="s">
        <v>7782</v>
      </c>
      <c r="L474" s="9" t="s">
        <v>8403</v>
      </c>
      <c r="M474" s="1" t="s">
        <v>12233</v>
      </c>
      <c r="P474" s="7" t="s">
        <v>1241</v>
      </c>
      <c r="Q474" s="13" t="str">
        <f>INDEX($L:$L, MATCH("attribute", $B:$B, 0))</f>
        <v>&lt;span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v>
      </c>
      <c r="R474" s="13" t="str">
        <f>INDEX($L:$L, MATCH("contribute", $B:$B, 0))</f>
        <v>&lt;span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v>
      </c>
      <c r="S474" s="13" t="str">
        <f>INDEX($L:$L, MATCH("distribute", $B:$B, 0))</f>
        <v>&lt;span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v>
      </c>
      <c r="AV474" s="1" t="s">
        <v>1502</v>
      </c>
      <c r="BG474" s="7" t="s">
        <v>1503</v>
      </c>
      <c r="BH474" s="1" t="s">
        <v>1976</v>
      </c>
      <c r="BI474" s="1" t="s">
        <v>3418</v>
      </c>
      <c r="BJ474" s="1" t="s">
        <v>1947</v>
      </c>
      <c r="BK474" s="1" t="s">
        <v>3419</v>
      </c>
      <c r="BL474" s="1" t="s">
        <v>1959</v>
      </c>
      <c r="BM474" s="1" t="s">
        <v>3420</v>
      </c>
      <c r="BN474" s="1" t="s">
        <v>1875</v>
      </c>
      <c r="BO474" s="2" t="s">
        <v>3421</v>
      </c>
      <c r="BP474" s="1" t="s">
        <v>1877</v>
      </c>
      <c r="BQ474" s="2" t="s">
        <v>3422</v>
      </c>
    </row>
    <row r="475" spans="1:71" ht="126" x14ac:dyDescent="0.45">
      <c r="A475" s="5">
        <v>474</v>
      </c>
      <c r="B475" s="8" t="s">
        <v>314</v>
      </c>
      <c r="C475" s="6" t="s">
        <v>6851</v>
      </c>
      <c r="D475" s="7" t="s">
        <v>9794</v>
      </c>
      <c r="E475" s="6" t="s">
        <v>314</v>
      </c>
      <c r="F475" s="1"/>
      <c r="G475" s="1"/>
      <c r="J475" s="1" t="s">
        <v>9795</v>
      </c>
      <c r="K475" s="2" t="s">
        <v>7783</v>
      </c>
      <c r="L475" s="9" t="s">
        <v>8404</v>
      </c>
      <c r="P475" s="7" t="s">
        <v>1241</v>
      </c>
      <c r="Q475" s="13" t="str">
        <f>INDEX($L:$L, MATCH("organize", $B:$B, 0))</f>
        <v>&lt;span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v>
      </c>
      <c r="AV475" s="1" t="s">
        <v>1502</v>
      </c>
      <c r="BG475" s="7" t="s">
        <v>1503</v>
      </c>
      <c r="BH475" s="1" t="s">
        <v>2458</v>
      </c>
      <c r="BI475" s="1" t="s">
        <v>7784</v>
      </c>
      <c r="BJ475" s="1" t="s">
        <v>1947</v>
      </c>
      <c r="BK475" s="2" t="s">
        <v>3423</v>
      </c>
      <c r="BL475" s="1" t="s">
        <v>1967</v>
      </c>
      <c r="BM475" s="1" t="s">
        <v>3424</v>
      </c>
      <c r="BN475" s="1" t="s">
        <v>3425</v>
      </c>
      <c r="BO475" s="2" t="s">
        <v>3426</v>
      </c>
      <c r="BP475" s="1" t="s">
        <v>1875</v>
      </c>
      <c r="BQ475" s="2" t="s">
        <v>3427</v>
      </c>
      <c r="BR475" s="1" t="s">
        <v>1877</v>
      </c>
      <c r="BS475" s="2" t="s">
        <v>3428</v>
      </c>
    </row>
    <row r="476" spans="1:71" ht="108" x14ac:dyDescent="0.45">
      <c r="A476" s="5">
        <v>475</v>
      </c>
      <c r="B476" s="8" t="s">
        <v>315</v>
      </c>
      <c r="C476" s="6" t="s">
        <v>6851</v>
      </c>
      <c r="D476" s="7" t="s">
        <v>9794</v>
      </c>
      <c r="E476" s="6" t="s">
        <v>315</v>
      </c>
      <c r="F476" s="1"/>
      <c r="G476" s="1"/>
      <c r="J476" s="1" t="s">
        <v>9795</v>
      </c>
      <c r="K476" s="2" t="s">
        <v>7785</v>
      </c>
      <c r="L476" s="9" t="s">
        <v>8405</v>
      </c>
      <c r="P476" s="7" t="s">
        <v>1241</v>
      </c>
      <c r="AV476" s="1" t="s">
        <v>1502</v>
      </c>
      <c r="BG476" s="7" t="s">
        <v>1503</v>
      </c>
      <c r="BH476" s="1" t="s">
        <v>1959</v>
      </c>
      <c r="BI476" s="1" t="s">
        <v>3429</v>
      </c>
      <c r="BJ476" s="1" t="s">
        <v>2114</v>
      </c>
      <c r="BK476" s="2" t="s">
        <v>3430</v>
      </c>
      <c r="BL476" s="1" t="s">
        <v>1875</v>
      </c>
      <c r="BM476" s="2" t="s">
        <v>3431</v>
      </c>
      <c r="BN476" s="1" t="s">
        <v>1877</v>
      </c>
      <c r="BO476" s="2" t="s">
        <v>3432</v>
      </c>
    </row>
    <row r="477" spans="1:71" ht="90" x14ac:dyDescent="0.45">
      <c r="A477" s="5">
        <v>476</v>
      </c>
      <c r="B477" s="8" t="s">
        <v>316</v>
      </c>
      <c r="C477" s="6" t="s">
        <v>6851</v>
      </c>
      <c r="D477" s="7" t="s">
        <v>9794</v>
      </c>
      <c r="E477" s="6" t="s">
        <v>316</v>
      </c>
      <c r="F477" s="1"/>
      <c r="G477" s="1"/>
      <c r="J477" s="1" t="s">
        <v>9795</v>
      </c>
      <c r="K477" s="2" t="s">
        <v>7786</v>
      </c>
      <c r="L477" s="4" t="s">
        <v>8406</v>
      </c>
      <c r="P477" s="7" t="s">
        <v>1241</v>
      </c>
      <c r="Q477" s="13" t="str">
        <f>INDEX($L:$L, MATCH("enormous", $B:$B, 0))</f>
        <v>&lt;span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v>
      </c>
      <c r="AU477" s="15"/>
      <c r="AV477" s="1" t="s">
        <v>1502</v>
      </c>
      <c r="BG477" s="7" t="s">
        <v>1503</v>
      </c>
      <c r="BH477" s="1" t="s">
        <v>1947</v>
      </c>
      <c r="BI477" s="2" t="s">
        <v>3433</v>
      </c>
      <c r="BJ477" s="1" t="s">
        <v>1996</v>
      </c>
      <c r="BK477" s="1" t="s">
        <v>3434</v>
      </c>
      <c r="BL477" s="1" t="s">
        <v>1877</v>
      </c>
      <c r="BM477" s="2" t="s">
        <v>3435</v>
      </c>
    </row>
    <row r="478" spans="1:71" ht="180" x14ac:dyDescent="0.45">
      <c r="A478" s="5">
        <v>477</v>
      </c>
      <c r="B478" s="8" t="s">
        <v>317</v>
      </c>
      <c r="C478" s="6" t="s">
        <v>6851</v>
      </c>
      <c r="D478" s="7" t="s">
        <v>9794</v>
      </c>
      <c r="E478" s="1" t="s">
        <v>317</v>
      </c>
      <c r="F478" s="1"/>
      <c r="G478" s="1"/>
      <c r="J478" s="1" t="s">
        <v>9795</v>
      </c>
      <c r="K478" s="2" t="s">
        <v>7787</v>
      </c>
      <c r="L478" s="3" t="s">
        <v>8407</v>
      </c>
      <c r="P478" s="7" t="s">
        <v>1241</v>
      </c>
      <c r="AU478" s="15"/>
      <c r="AV478" s="1" t="s">
        <v>1502</v>
      </c>
      <c r="BG478" s="7" t="s">
        <v>1503</v>
      </c>
      <c r="BH478" s="1" t="s">
        <v>1947</v>
      </c>
      <c r="BI478" s="2" t="s">
        <v>7788</v>
      </c>
      <c r="BJ478" s="1" t="s">
        <v>1959</v>
      </c>
      <c r="BK478" s="1" t="s">
        <v>3436</v>
      </c>
      <c r="BL478" s="1" t="s">
        <v>1875</v>
      </c>
      <c r="BM478" s="2" t="s">
        <v>3437</v>
      </c>
      <c r="BN478" s="1" t="s">
        <v>1877</v>
      </c>
      <c r="BO478" s="2" t="s">
        <v>3438</v>
      </c>
      <c r="BP478" s="1" t="s">
        <v>3497</v>
      </c>
      <c r="BQ478" s="2" t="s">
        <v>7789</v>
      </c>
    </row>
    <row r="479" spans="1:71" ht="288" x14ac:dyDescent="0.45">
      <c r="A479" s="5">
        <v>478</v>
      </c>
      <c r="B479" s="8" t="s">
        <v>1680</v>
      </c>
      <c r="C479" s="6" t="s">
        <v>6851</v>
      </c>
      <c r="D479" s="7" t="s">
        <v>9794</v>
      </c>
      <c r="E479" s="1" t="s">
        <v>4501</v>
      </c>
      <c r="F479" s="1" t="s">
        <v>8939</v>
      </c>
      <c r="G479" s="1"/>
      <c r="J479" s="1" t="s">
        <v>9795</v>
      </c>
      <c r="K479" s="2" t="s">
        <v>7790</v>
      </c>
      <c r="L479" s="3" t="s">
        <v>8408</v>
      </c>
      <c r="M479" s="1" t="s">
        <v>12225</v>
      </c>
      <c r="P479" s="7" t="s">
        <v>1241</v>
      </c>
      <c r="Q479" s="1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479" s="1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479" s="1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479" s="14"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479" s="14"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479" s="1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479" s="1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479"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479"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479"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479"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479"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479"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479"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479"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479" s="15"/>
      <c r="AV479" s="1" t="s">
        <v>1502</v>
      </c>
      <c r="BG479" s="7" t="s">
        <v>1503</v>
      </c>
      <c r="BH479" s="1" t="s">
        <v>1947</v>
      </c>
      <c r="BI479" s="2" t="s">
        <v>3439</v>
      </c>
      <c r="BJ479" s="1" t="s">
        <v>1959</v>
      </c>
      <c r="BK479" s="2" t="s">
        <v>3440</v>
      </c>
      <c r="BL479" s="1" t="s">
        <v>1875</v>
      </c>
      <c r="BM479" s="2" t="s">
        <v>3441</v>
      </c>
      <c r="BN479" s="1" t="s">
        <v>1877</v>
      </c>
      <c r="BO479" s="2" t="s">
        <v>3442</v>
      </c>
    </row>
    <row r="480" spans="1:71" ht="288" x14ac:dyDescent="0.45">
      <c r="A480" s="5">
        <v>479</v>
      </c>
      <c r="B480" s="8" t="s">
        <v>1681</v>
      </c>
      <c r="C480" s="6" t="s">
        <v>6852</v>
      </c>
      <c r="D480" s="7" t="s">
        <v>9794</v>
      </c>
      <c r="E480" s="1" t="s">
        <v>8995</v>
      </c>
      <c r="F480" s="1" t="s">
        <v>5887</v>
      </c>
      <c r="G480" s="1"/>
      <c r="J480" s="1" t="s">
        <v>9795</v>
      </c>
      <c r="K480" s="2" t="s">
        <v>7791</v>
      </c>
      <c r="L480" s="4" t="s">
        <v>8409</v>
      </c>
      <c r="M480" s="1" t="s">
        <v>12209</v>
      </c>
      <c r="P480" s="7" t="s">
        <v>1241</v>
      </c>
      <c r="Q480" s="1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480" s="1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480" s="1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480"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U480" s="1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V480"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W480" s="14"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X480" s="15"/>
      <c r="Y480" s="15"/>
      <c r="AU480" s="15"/>
      <c r="AV480" s="1" t="s">
        <v>1502</v>
      </c>
      <c r="BG480" s="7" t="s">
        <v>1503</v>
      </c>
      <c r="BH480" s="1" t="s">
        <v>1947</v>
      </c>
      <c r="BI480" s="2" t="s">
        <v>3443</v>
      </c>
      <c r="BJ480" s="1" t="s">
        <v>2036</v>
      </c>
      <c r="BK480" s="1" t="s">
        <v>3444</v>
      </c>
      <c r="BL480" s="1" t="s">
        <v>1959</v>
      </c>
      <c r="BM480" s="1" t="s">
        <v>3445</v>
      </c>
      <c r="BN480" s="1" t="s">
        <v>1877</v>
      </c>
      <c r="BO480" s="2" t="s">
        <v>3446</v>
      </c>
    </row>
    <row r="481" spans="1:69" ht="108" x14ac:dyDescent="0.45">
      <c r="A481" s="5">
        <v>480</v>
      </c>
      <c r="B481" s="8" t="s">
        <v>318</v>
      </c>
      <c r="C481" s="6" t="s">
        <v>6852</v>
      </c>
      <c r="D481" s="7" t="s">
        <v>9794</v>
      </c>
      <c r="E481" s="1" t="s">
        <v>1682</v>
      </c>
      <c r="F481" s="1" t="s">
        <v>1548</v>
      </c>
      <c r="G481" s="1"/>
      <c r="J481" s="1" t="s">
        <v>9795</v>
      </c>
      <c r="K481" s="2" t="s">
        <v>7792</v>
      </c>
      <c r="L481" s="9" t="s">
        <v>8410</v>
      </c>
      <c r="P481" s="7" t="s">
        <v>1241</v>
      </c>
      <c r="AU481" s="15"/>
      <c r="AV481" s="1" t="s">
        <v>1502</v>
      </c>
      <c r="BG481" s="7" t="s">
        <v>1503</v>
      </c>
      <c r="BH481" s="1" t="s">
        <v>1947</v>
      </c>
      <c r="BI481" s="2" t="s">
        <v>3447</v>
      </c>
      <c r="BJ481" s="1" t="s">
        <v>2036</v>
      </c>
      <c r="BK481" s="2" t="s">
        <v>3448</v>
      </c>
      <c r="BL481" s="1" t="s">
        <v>1875</v>
      </c>
      <c r="BM481" s="2" t="s">
        <v>3449</v>
      </c>
    </row>
    <row r="482" spans="1:69" ht="90" x14ac:dyDescent="0.45">
      <c r="A482" s="5">
        <v>481</v>
      </c>
      <c r="B482" s="8" t="s">
        <v>319</v>
      </c>
      <c r="C482" s="6" t="s">
        <v>6852</v>
      </c>
      <c r="D482" s="7" t="s">
        <v>9794</v>
      </c>
      <c r="E482" s="1" t="s">
        <v>319</v>
      </c>
      <c r="F482" s="1"/>
      <c r="G482" s="1"/>
      <c r="J482" s="1" t="s">
        <v>9795</v>
      </c>
      <c r="K482" s="2"/>
      <c r="L482" s="9" t="s">
        <v>8411</v>
      </c>
      <c r="P482" s="7" t="s">
        <v>1241</v>
      </c>
      <c r="AV482" s="1" t="s">
        <v>1502</v>
      </c>
      <c r="BG482" s="7" t="s">
        <v>1503</v>
      </c>
      <c r="BH482" s="1" t="s">
        <v>1872</v>
      </c>
      <c r="BI482" s="1" t="s">
        <v>3450</v>
      </c>
      <c r="BJ482" s="1" t="s">
        <v>1875</v>
      </c>
      <c r="BK482" s="1" t="s">
        <v>3451</v>
      </c>
    </row>
    <row r="483" spans="1:69" ht="144" x14ac:dyDescent="0.45">
      <c r="A483" s="5">
        <v>482</v>
      </c>
      <c r="B483" s="8" t="s">
        <v>320</v>
      </c>
      <c r="C483" s="6" t="s">
        <v>6852</v>
      </c>
      <c r="D483" s="7" t="s">
        <v>9794</v>
      </c>
      <c r="E483" s="1" t="s">
        <v>1683</v>
      </c>
      <c r="F483" s="1" t="s">
        <v>101</v>
      </c>
      <c r="G483" s="1"/>
      <c r="J483" s="1" t="s">
        <v>9795</v>
      </c>
      <c r="K483" s="2" t="s">
        <v>7793</v>
      </c>
      <c r="L483" s="9" t="s">
        <v>8412</v>
      </c>
      <c r="P483" s="7" t="s">
        <v>1241</v>
      </c>
      <c r="Q483" s="13" t="str">
        <f>INDEX($L:$L, MATCH("spread", $B:$B, 0))</f>
        <v>&lt;span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v>
      </c>
      <c r="AU483" s="15"/>
      <c r="AV483" s="1" t="s">
        <v>1502</v>
      </c>
      <c r="BG483" s="7" t="s">
        <v>1503</v>
      </c>
      <c r="BH483" s="1" t="s">
        <v>1877</v>
      </c>
      <c r="BI483" s="2" t="s">
        <v>3452</v>
      </c>
    </row>
    <row r="484" spans="1:69" ht="252" x14ac:dyDescent="0.45">
      <c r="A484" s="5">
        <v>483</v>
      </c>
      <c r="B484" s="8" t="s">
        <v>321</v>
      </c>
      <c r="C484" s="6" t="s">
        <v>6852</v>
      </c>
      <c r="D484" s="7" t="s">
        <v>9794</v>
      </c>
      <c r="E484" s="1" t="s">
        <v>1684</v>
      </c>
      <c r="F484" s="1" t="s">
        <v>1445</v>
      </c>
      <c r="G484" s="1"/>
      <c r="J484" s="1" t="s">
        <v>9795</v>
      </c>
      <c r="K484" s="2" t="s">
        <v>7794</v>
      </c>
      <c r="L484" s="3" t="s">
        <v>8413</v>
      </c>
      <c r="M484" s="1" t="s">
        <v>12177</v>
      </c>
      <c r="P484" s="7" t="s">
        <v>1241</v>
      </c>
      <c r="Q484" s="13"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484" s="13"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484" s="13"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T484" s="13"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U484" s="13"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U484" s="15"/>
      <c r="AV484" s="1" t="s">
        <v>1502</v>
      </c>
      <c r="BG484" s="7" t="s">
        <v>1503</v>
      </c>
      <c r="BH484" s="1" t="s">
        <v>1947</v>
      </c>
      <c r="BI484" s="2" t="s">
        <v>3453</v>
      </c>
      <c r="BJ484" s="1" t="s">
        <v>1959</v>
      </c>
      <c r="BK484" s="1" t="s">
        <v>3454</v>
      </c>
      <c r="BL484" s="1" t="s">
        <v>1875</v>
      </c>
      <c r="BM484" s="2" t="s">
        <v>3455</v>
      </c>
    </row>
    <row r="485" spans="1:69" ht="180" x14ac:dyDescent="0.45">
      <c r="A485" s="5">
        <v>484</v>
      </c>
      <c r="B485" s="8" t="s">
        <v>1685</v>
      </c>
      <c r="C485" s="6" t="s">
        <v>6852</v>
      </c>
      <c r="D485" s="7" t="s">
        <v>9794</v>
      </c>
      <c r="E485" s="1" t="s">
        <v>31</v>
      </c>
      <c r="F485" s="1" t="s">
        <v>1325</v>
      </c>
      <c r="G485" s="1"/>
      <c r="J485" s="1" t="s">
        <v>9795</v>
      </c>
      <c r="K485" s="2" t="s">
        <v>7795</v>
      </c>
      <c r="L485" s="4" t="s">
        <v>8414</v>
      </c>
      <c r="P485" s="7" t="s">
        <v>1241</v>
      </c>
      <c r="Q485" s="14" t="str">
        <f>INDEX($L:$L, MATCH("appropriate", $B:$B, 0))</f>
        <v>&lt;span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v>
      </c>
      <c r="AU485" s="15"/>
      <c r="AV485" s="1" t="s">
        <v>1502</v>
      </c>
      <c r="BG485" s="7" t="s">
        <v>1503</v>
      </c>
      <c r="BH485" s="1" t="s">
        <v>1947</v>
      </c>
      <c r="BI485" s="2" t="s">
        <v>3456</v>
      </c>
      <c r="BJ485" s="1" t="s">
        <v>1959</v>
      </c>
      <c r="BK485" s="2" t="s">
        <v>3457</v>
      </c>
      <c r="BL485" s="1" t="s">
        <v>1875</v>
      </c>
      <c r="BM485" s="2" t="s">
        <v>3458</v>
      </c>
    </row>
    <row r="486" spans="1:69" ht="162" x14ac:dyDescent="0.45">
      <c r="A486" s="5">
        <v>485</v>
      </c>
      <c r="B486" s="8" t="s">
        <v>322</v>
      </c>
      <c r="C486" s="6" t="s">
        <v>6852</v>
      </c>
      <c r="D486" s="7" t="s">
        <v>9794</v>
      </c>
      <c r="E486" s="1" t="s">
        <v>1686</v>
      </c>
      <c r="F486" s="1" t="s">
        <v>1687</v>
      </c>
      <c r="G486" s="1" t="s">
        <v>1551</v>
      </c>
      <c r="J486" s="1" t="s">
        <v>9795</v>
      </c>
      <c r="K486" s="2" t="s">
        <v>7796</v>
      </c>
      <c r="L486" s="9" t="s">
        <v>9245</v>
      </c>
      <c r="P486" s="7" t="s">
        <v>1241</v>
      </c>
      <c r="AU486" s="15"/>
      <c r="AV486" s="1" t="s">
        <v>1502</v>
      </c>
      <c r="BG486" s="7" t="s">
        <v>1503</v>
      </c>
      <c r="BH486" s="1" t="s">
        <v>1947</v>
      </c>
      <c r="BI486" s="2" t="s">
        <v>3459</v>
      </c>
      <c r="BJ486" s="1" t="s">
        <v>7797</v>
      </c>
      <c r="BK486" s="2" t="s">
        <v>3460</v>
      </c>
      <c r="BL486" s="1" t="s">
        <v>3461</v>
      </c>
      <c r="BM486" s="2" t="s">
        <v>3462</v>
      </c>
      <c r="BN486" s="1" t="s">
        <v>7798</v>
      </c>
      <c r="BO486" s="2" t="s">
        <v>3463</v>
      </c>
    </row>
    <row r="487" spans="1:69" ht="216" x14ac:dyDescent="0.45">
      <c r="A487" s="5">
        <v>486</v>
      </c>
      <c r="B487" s="8" t="s">
        <v>323</v>
      </c>
      <c r="C487" s="6" t="s">
        <v>6852</v>
      </c>
      <c r="D487" s="7" t="s">
        <v>9794</v>
      </c>
      <c r="E487" s="1" t="s">
        <v>1688</v>
      </c>
      <c r="F487" s="1" t="s">
        <v>49</v>
      </c>
      <c r="G487" s="1"/>
      <c r="J487" s="1" t="s">
        <v>9795</v>
      </c>
      <c r="K487" s="2" t="s">
        <v>7799</v>
      </c>
      <c r="L487" s="9" t="s">
        <v>8415</v>
      </c>
      <c r="P487" s="7" t="s">
        <v>1241</v>
      </c>
      <c r="Q487" s="13" t="str">
        <f>INDEX($L:$L, MATCH("millennium", $B:$B, 0))</f>
        <v>&lt;span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v>
      </c>
      <c r="R487"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AU487" s="15"/>
      <c r="AV487" s="1" t="s">
        <v>1502</v>
      </c>
      <c r="BG487" s="7" t="s">
        <v>1503</v>
      </c>
      <c r="BH487" s="1" t="s">
        <v>1947</v>
      </c>
      <c r="BI487" s="2" t="s">
        <v>7800</v>
      </c>
      <c r="BJ487" s="1" t="s">
        <v>2036</v>
      </c>
      <c r="BK487" s="2" t="s">
        <v>3464</v>
      </c>
      <c r="BL487" s="1" t="s">
        <v>1959</v>
      </c>
      <c r="BM487" s="2" t="s">
        <v>3465</v>
      </c>
      <c r="BN487" s="1" t="s">
        <v>1875</v>
      </c>
      <c r="BO487" s="2" t="s">
        <v>3466</v>
      </c>
    </row>
    <row r="488" spans="1:69" ht="144" x14ac:dyDescent="0.45">
      <c r="A488" s="5">
        <v>487</v>
      </c>
      <c r="B488" s="8" t="s">
        <v>324</v>
      </c>
      <c r="C488" s="6" t="s">
        <v>6852</v>
      </c>
      <c r="D488" s="7" t="s">
        <v>9794</v>
      </c>
      <c r="E488" s="1" t="s">
        <v>1467</v>
      </c>
      <c r="F488" s="1" t="s">
        <v>1689</v>
      </c>
      <c r="G488" s="1" t="s">
        <v>1541</v>
      </c>
      <c r="J488" s="1" t="s">
        <v>9795</v>
      </c>
      <c r="K488" s="2" t="s">
        <v>7801</v>
      </c>
      <c r="L488" s="9" t="s">
        <v>8416</v>
      </c>
      <c r="P488" s="7" t="s">
        <v>1241</v>
      </c>
      <c r="Q488" s="13" t="str">
        <f>INDEX($L:$L, MATCH("temporary", $B:$B, 0))</f>
        <v>&lt;span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v>
      </c>
      <c r="AU488" s="15"/>
      <c r="AV488" s="1" t="s">
        <v>1502</v>
      </c>
      <c r="BG488" s="7" t="s">
        <v>1503</v>
      </c>
      <c r="BH488" s="1" t="s">
        <v>1947</v>
      </c>
      <c r="BI488" s="2" t="s">
        <v>7802</v>
      </c>
      <c r="BJ488" s="1" t="s">
        <v>1967</v>
      </c>
      <c r="BK488" s="2" t="s">
        <v>3467</v>
      </c>
      <c r="BL488" s="1" t="s">
        <v>1877</v>
      </c>
      <c r="BM488" s="2" t="s">
        <v>7803</v>
      </c>
    </row>
    <row r="489" spans="1:69" ht="216" x14ac:dyDescent="0.45">
      <c r="A489" s="5">
        <v>488</v>
      </c>
      <c r="B489" s="8" t="s">
        <v>1690</v>
      </c>
      <c r="C489" s="6" t="s">
        <v>6852</v>
      </c>
      <c r="D489" s="7" t="s">
        <v>9794</v>
      </c>
      <c r="E489" s="1" t="s">
        <v>1426</v>
      </c>
      <c r="F489" s="1" t="s">
        <v>1927</v>
      </c>
      <c r="G489" s="1"/>
      <c r="J489" s="1" t="s">
        <v>9795</v>
      </c>
      <c r="K489" s="2" t="s">
        <v>7804</v>
      </c>
      <c r="L489" s="4" t="s">
        <v>8417</v>
      </c>
      <c r="M489" s="1" t="s">
        <v>12236</v>
      </c>
      <c r="P489" s="7" t="s">
        <v>1241</v>
      </c>
      <c r="Q489" s="1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R489"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S489" s="1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489" s="13"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U489"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AU489" s="15"/>
      <c r="AV489" s="1" t="s">
        <v>1502</v>
      </c>
      <c r="BG489" s="7" t="s">
        <v>1503</v>
      </c>
      <c r="BH489" s="1" t="s">
        <v>1947</v>
      </c>
      <c r="BI489" s="2" t="s">
        <v>3468</v>
      </c>
      <c r="BJ489" s="1" t="s">
        <v>1959</v>
      </c>
      <c r="BK489" s="1" t="s">
        <v>3469</v>
      </c>
      <c r="BL489" s="1" t="s">
        <v>2114</v>
      </c>
      <c r="BM489" s="1" t="s">
        <v>3470</v>
      </c>
      <c r="BN489" s="1" t="s">
        <v>1875</v>
      </c>
      <c r="BO489" s="2" t="s">
        <v>3471</v>
      </c>
    </row>
    <row r="490" spans="1:69" ht="198" x14ac:dyDescent="0.45">
      <c r="A490" s="5">
        <v>489</v>
      </c>
      <c r="B490" s="8" t="s">
        <v>1691</v>
      </c>
      <c r="C490" s="6" t="s">
        <v>6852</v>
      </c>
      <c r="D490" s="7" t="s">
        <v>9794</v>
      </c>
      <c r="E490" s="1" t="s">
        <v>325</v>
      </c>
      <c r="F490" s="1"/>
      <c r="G490" s="1"/>
      <c r="J490" s="1" t="s">
        <v>9795</v>
      </c>
      <c r="K490" s="2" t="s">
        <v>7805</v>
      </c>
      <c r="L490" s="4" t="s">
        <v>8418</v>
      </c>
      <c r="M490" s="1" t="s">
        <v>12221</v>
      </c>
      <c r="P490" s="7" t="s">
        <v>1241</v>
      </c>
      <c r="Q490" s="14"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490" s="14"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S490" s="14"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T490" s="14"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U490" s="13"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AU490" s="15"/>
      <c r="AV490" s="1" t="s">
        <v>1502</v>
      </c>
      <c r="BG490" s="7" t="s">
        <v>1503</v>
      </c>
      <c r="BH490" s="1" t="s">
        <v>1947</v>
      </c>
      <c r="BI490" s="2" t="s">
        <v>3472</v>
      </c>
      <c r="BJ490" s="1" t="s">
        <v>1875</v>
      </c>
      <c r="BK490" s="2" t="s">
        <v>3473</v>
      </c>
      <c r="BL490" s="1" t="s">
        <v>1877</v>
      </c>
      <c r="BM490" s="2" t="s">
        <v>3474</v>
      </c>
    </row>
    <row r="491" spans="1:69" ht="270" x14ac:dyDescent="0.45">
      <c r="A491" s="5">
        <v>490</v>
      </c>
      <c r="B491" s="8" t="s">
        <v>326</v>
      </c>
      <c r="C491" s="6" t="s">
        <v>6852</v>
      </c>
      <c r="D491" s="7" t="s">
        <v>9794</v>
      </c>
      <c r="E491" s="1" t="s">
        <v>1692</v>
      </c>
      <c r="F491" s="1" t="s">
        <v>1607</v>
      </c>
      <c r="G491" s="1"/>
      <c r="J491" s="1" t="s">
        <v>9795</v>
      </c>
      <c r="K491" s="2" t="s">
        <v>7806</v>
      </c>
      <c r="L491" s="9" t="s">
        <v>8419</v>
      </c>
      <c r="P491" s="7" t="s">
        <v>1241</v>
      </c>
      <c r="AU491" s="15"/>
      <c r="AV491" s="1" t="s">
        <v>1502</v>
      </c>
      <c r="BG491" s="7" t="s">
        <v>1503</v>
      </c>
      <c r="BH491" s="1" t="s">
        <v>1947</v>
      </c>
      <c r="BI491" s="2" t="s">
        <v>3475</v>
      </c>
      <c r="BJ491" s="1" t="s">
        <v>1959</v>
      </c>
      <c r="BK491" s="1" t="s">
        <v>3476</v>
      </c>
      <c r="BL491" s="1" t="s">
        <v>1875</v>
      </c>
      <c r="BM491" s="2" t="s">
        <v>3477</v>
      </c>
      <c r="BN491" s="1" t="s">
        <v>1877</v>
      </c>
      <c r="BO491" s="2" t="s">
        <v>3478</v>
      </c>
    </row>
    <row r="492" spans="1:69" ht="126" x14ac:dyDescent="0.45">
      <c r="A492" s="5">
        <v>491</v>
      </c>
      <c r="B492" s="8" t="s">
        <v>327</v>
      </c>
      <c r="C492" s="6" t="s">
        <v>6852</v>
      </c>
      <c r="D492" s="7" t="s">
        <v>9794</v>
      </c>
      <c r="E492" s="1" t="s">
        <v>327</v>
      </c>
      <c r="F492" s="1"/>
      <c r="G492" s="1"/>
      <c r="J492" s="1" t="s">
        <v>9795</v>
      </c>
      <c r="K492" s="2" t="s">
        <v>7807</v>
      </c>
      <c r="L492" s="9" t="s">
        <v>8420</v>
      </c>
      <c r="P492" s="7" t="s">
        <v>1241</v>
      </c>
      <c r="AV492" s="1" t="s">
        <v>1502</v>
      </c>
      <c r="BG492" s="7" t="s">
        <v>1503</v>
      </c>
      <c r="BH492" s="1" t="s">
        <v>2110</v>
      </c>
      <c r="BI492" s="1" t="s">
        <v>3479</v>
      </c>
      <c r="BJ492" s="1" t="s">
        <v>1875</v>
      </c>
      <c r="BK492" s="2" t="s">
        <v>3480</v>
      </c>
      <c r="BL492" s="1" t="s">
        <v>1877</v>
      </c>
      <c r="BM492" s="2" t="s">
        <v>3481</v>
      </c>
    </row>
    <row r="493" spans="1:69" ht="90" x14ac:dyDescent="0.45">
      <c r="A493" s="5">
        <v>492</v>
      </c>
      <c r="B493" s="8" t="s">
        <v>1693</v>
      </c>
      <c r="C493" s="6" t="s">
        <v>6852</v>
      </c>
      <c r="D493" s="7" t="s">
        <v>9794</v>
      </c>
      <c r="E493" s="1" t="s">
        <v>1941</v>
      </c>
      <c r="F493" s="1" t="s">
        <v>8996</v>
      </c>
      <c r="G493" s="1"/>
      <c r="J493" s="1" t="s">
        <v>9795</v>
      </c>
      <c r="K493" s="1" t="s">
        <v>3482</v>
      </c>
      <c r="L493" s="4" t="s">
        <v>8421</v>
      </c>
      <c r="M493" s="1" t="s">
        <v>12190</v>
      </c>
      <c r="P493" s="7" t="s">
        <v>1241</v>
      </c>
      <c r="Q493"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493" s="13"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493"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T493"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U493" s="13"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V493"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493"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493"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493"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493"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U493" s="15"/>
      <c r="AV493" s="1" t="s">
        <v>1502</v>
      </c>
      <c r="BG493" s="7" t="s">
        <v>1503</v>
      </c>
      <c r="BH493" s="1" t="s">
        <v>1875</v>
      </c>
      <c r="BI493" s="2" t="s">
        <v>3483</v>
      </c>
    </row>
    <row r="494" spans="1:69" ht="252" x14ac:dyDescent="0.45">
      <c r="A494" s="5">
        <v>493</v>
      </c>
      <c r="B494" s="8" t="s">
        <v>328</v>
      </c>
      <c r="C494" s="6" t="s">
        <v>6852</v>
      </c>
      <c r="D494" s="7" t="s">
        <v>9794</v>
      </c>
      <c r="E494" s="1" t="s">
        <v>1694</v>
      </c>
      <c r="F494" s="1" t="s">
        <v>1695</v>
      </c>
      <c r="G494" s="1"/>
      <c r="J494" s="1" t="s">
        <v>9795</v>
      </c>
      <c r="K494" s="2" t="s">
        <v>7808</v>
      </c>
      <c r="L494" s="9" t="s">
        <v>12160</v>
      </c>
      <c r="M494" s="1" t="s">
        <v>12259</v>
      </c>
      <c r="P494" s="7" t="s">
        <v>1241</v>
      </c>
      <c r="Q494" s="13" t="str">
        <f>INDEX($L:$L, MATCH("supreme", $B:$B, 0))</f>
        <v>&lt;span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v>
      </c>
      <c r="R494" s="13" t="str">
        <f>INDEX($L:$L, MATCH("inferior", $B:$B, 0))</f>
        <v>&lt;span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class="spacer"&gt;&lt;/span&gt;このまま日本語にすると「より下の」となる。物理的に基準よりも下に位置することから比喩的に、質・能力・立場などが「より劣った」という意味になる。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S494" s="13"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U494" s="15"/>
      <c r="AV494" s="1" t="s">
        <v>1502</v>
      </c>
      <c r="BG494" s="7" t="s">
        <v>1503</v>
      </c>
      <c r="BH494" s="1" t="s">
        <v>1947</v>
      </c>
      <c r="BI494" s="2" t="s">
        <v>3484</v>
      </c>
      <c r="BJ494" s="1" t="s">
        <v>1959</v>
      </c>
      <c r="BK494" s="2" t="s">
        <v>3485</v>
      </c>
      <c r="BL494" s="1" t="s">
        <v>1875</v>
      </c>
      <c r="BM494" s="2" t="s">
        <v>3486</v>
      </c>
      <c r="BN494" s="1" t="s">
        <v>1877</v>
      </c>
      <c r="BO494" s="2" t="s">
        <v>3487</v>
      </c>
    </row>
    <row r="495" spans="1:69" ht="270" x14ac:dyDescent="0.45">
      <c r="A495" s="5">
        <v>494</v>
      </c>
      <c r="B495" s="8" t="s">
        <v>329</v>
      </c>
      <c r="C495" s="6" t="s">
        <v>6852</v>
      </c>
      <c r="D495" s="7" t="s">
        <v>9794</v>
      </c>
      <c r="E495" s="1" t="s">
        <v>1696</v>
      </c>
      <c r="F495" s="1" t="s">
        <v>1528</v>
      </c>
      <c r="G495" s="1"/>
      <c r="J495" s="1" t="s">
        <v>9795</v>
      </c>
      <c r="K495" s="2" t="s">
        <v>7809</v>
      </c>
      <c r="L495" s="9" t="s">
        <v>8422</v>
      </c>
      <c r="M495" s="1" t="s">
        <v>12260</v>
      </c>
      <c r="P495" s="7" t="s">
        <v>1241</v>
      </c>
      <c r="Q495" s="14"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R495" s="14"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S495" s="14"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T495" s="14"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U495"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V495"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495" s="15"/>
      <c r="AV495" s="1" t="s">
        <v>1502</v>
      </c>
      <c r="BG495" s="7" t="s">
        <v>1503</v>
      </c>
      <c r="BH495" s="1" t="s">
        <v>1947</v>
      </c>
      <c r="BI495" s="2" t="s">
        <v>3488</v>
      </c>
      <c r="BJ495" s="1" t="s">
        <v>1967</v>
      </c>
      <c r="BK495" s="2" t="s">
        <v>3489</v>
      </c>
      <c r="BL495" s="1" t="s">
        <v>1959</v>
      </c>
      <c r="BM495" s="1" t="s">
        <v>3490</v>
      </c>
      <c r="BN495" s="1" t="s">
        <v>1875</v>
      </c>
      <c r="BO495" s="2" t="s">
        <v>3491</v>
      </c>
      <c r="BP495" s="1" t="s">
        <v>1877</v>
      </c>
      <c r="BQ495" s="2" t="s">
        <v>3492</v>
      </c>
    </row>
    <row r="496" spans="1:69" ht="126" x14ac:dyDescent="0.45">
      <c r="A496" s="5">
        <v>495</v>
      </c>
      <c r="B496" s="8" t="s">
        <v>330</v>
      </c>
      <c r="C496" s="6" t="s">
        <v>6852</v>
      </c>
      <c r="D496" s="7" t="s">
        <v>9794</v>
      </c>
      <c r="E496" s="1" t="s">
        <v>1697</v>
      </c>
      <c r="F496" s="1" t="s">
        <v>1698</v>
      </c>
      <c r="G496" s="1"/>
      <c r="J496" s="1" t="s">
        <v>9795</v>
      </c>
      <c r="K496" s="2" t="s">
        <v>7810</v>
      </c>
      <c r="L496" s="9" t="s">
        <v>8423</v>
      </c>
      <c r="P496" s="7" t="s">
        <v>1241</v>
      </c>
      <c r="Q496" s="13" t="str">
        <f>INDEX($L:$L, MATCH("violate", $B:$B, 0))</f>
        <v>&lt;span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v>
      </c>
      <c r="AU496" s="15"/>
      <c r="AV496" s="1" t="s">
        <v>1502</v>
      </c>
      <c r="BG496" s="7" t="s">
        <v>1503</v>
      </c>
      <c r="BH496" s="1" t="s">
        <v>1947</v>
      </c>
      <c r="BI496" s="2" t="s">
        <v>7811</v>
      </c>
      <c r="BJ496" s="1" t="s">
        <v>1959</v>
      </c>
      <c r="BK496" s="1" t="s">
        <v>3493</v>
      </c>
      <c r="BL496" s="1" t="s">
        <v>1875</v>
      </c>
      <c r="BM496" s="2" t="s">
        <v>3494</v>
      </c>
    </row>
    <row r="497" spans="1:69" ht="234" x14ac:dyDescent="0.45">
      <c r="A497" s="5">
        <v>496</v>
      </c>
      <c r="B497" s="8" t="s">
        <v>1699</v>
      </c>
      <c r="C497" s="6" t="s">
        <v>6852</v>
      </c>
      <c r="D497" s="7" t="s">
        <v>9794</v>
      </c>
      <c r="E497" s="1" t="s">
        <v>5614</v>
      </c>
      <c r="F497" s="1" t="s">
        <v>7812</v>
      </c>
      <c r="G497" s="1" t="s">
        <v>49</v>
      </c>
      <c r="J497" s="1" t="s">
        <v>9795</v>
      </c>
      <c r="K497" s="2" t="s">
        <v>7813</v>
      </c>
      <c r="L497" s="9" t="s">
        <v>8424</v>
      </c>
      <c r="P497" s="7" t="s">
        <v>1241</v>
      </c>
      <c r="Q497" s="13" t="str">
        <f>INDEX($L:$L, MATCH("virtue", $B:$B, 0))</f>
        <v>&lt;span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&lt;div class="sample_image virtue"&gt;&lt;/div&gt;&lt;/span&gt;</v>
      </c>
      <c r="AU497" s="15"/>
      <c r="AV497" s="1" t="s">
        <v>1502</v>
      </c>
      <c r="BG497" s="7" t="s">
        <v>1503</v>
      </c>
      <c r="BH497" s="1" t="s">
        <v>1947</v>
      </c>
      <c r="BI497" s="2" t="s">
        <v>7814</v>
      </c>
      <c r="BJ497" s="1" t="s">
        <v>1967</v>
      </c>
      <c r="BK497" s="2" t="s">
        <v>3495</v>
      </c>
      <c r="BL497" s="1" t="s">
        <v>1875</v>
      </c>
      <c r="BM497" s="2" t="s">
        <v>7815</v>
      </c>
      <c r="BN497" s="1" t="s">
        <v>1877</v>
      </c>
      <c r="BO497" s="2" t="s">
        <v>3496</v>
      </c>
      <c r="BP497" s="1" t="s">
        <v>3497</v>
      </c>
      <c r="BQ497" s="2" t="s">
        <v>3498</v>
      </c>
    </row>
    <row r="498" spans="1:69" ht="234" x14ac:dyDescent="0.45">
      <c r="A498" s="5">
        <v>497</v>
      </c>
      <c r="B498" s="8" t="s">
        <v>1700</v>
      </c>
      <c r="C498" s="6" t="s">
        <v>6852</v>
      </c>
      <c r="D498" s="7" t="s">
        <v>9794</v>
      </c>
      <c r="E498" s="1" t="s">
        <v>1251</v>
      </c>
      <c r="F498" s="1" t="s">
        <v>1334</v>
      </c>
      <c r="G498" s="1" t="s">
        <v>1556</v>
      </c>
      <c r="J498" s="1" t="s">
        <v>9795</v>
      </c>
      <c r="K498" s="2" t="s">
        <v>7816</v>
      </c>
      <c r="L498" s="4" t="s">
        <v>11672</v>
      </c>
      <c r="P498" s="7" t="s">
        <v>1241</v>
      </c>
      <c r="Q498" s="14"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498" s="14"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S498" s="14"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T498" s="13"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U498"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498"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W498" s="13"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AU498" s="15"/>
      <c r="AV498" s="1" t="s">
        <v>1502</v>
      </c>
      <c r="BG498" s="7" t="s">
        <v>1503</v>
      </c>
      <c r="BH498" s="1" t="s">
        <v>1959</v>
      </c>
      <c r="BI498" s="2" t="s">
        <v>3499</v>
      </c>
      <c r="BJ498" s="1" t="s">
        <v>1875</v>
      </c>
      <c r="BK498" s="1" t="s">
        <v>3500</v>
      </c>
      <c r="BL498" s="1" t="s">
        <v>1877</v>
      </c>
      <c r="BM498" s="2" t="s">
        <v>3501</v>
      </c>
    </row>
    <row r="499" spans="1:69" ht="198" x14ac:dyDescent="0.45">
      <c r="A499" s="5">
        <v>498</v>
      </c>
      <c r="B499" s="8" t="s">
        <v>331</v>
      </c>
      <c r="C499" s="6" t="s">
        <v>6852</v>
      </c>
      <c r="D499" s="7" t="s">
        <v>9794</v>
      </c>
      <c r="E499" s="1" t="s">
        <v>29</v>
      </c>
      <c r="F499" s="1" t="s">
        <v>7817</v>
      </c>
      <c r="G499" s="1"/>
      <c r="J499" s="1" t="s">
        <v>9795</v>
      </c>
      <c r="K499" s="2" t="s">
        <v>7818</v>
      </c>
      <c r="L499" s="4" t="s">
        <v>8425</v>
      </c>
      <c r="M499" s="1" t="s">
        <v>12217</v>
      </c>
      <c r="P499" s="7" t="s">
        <v>1241</v>
      </c>
      <c r="Q499" s="14" t="str">
        <f>INDEX($L:$L, MATCH("medium", $B:$B, 0))</f>
        <v>&lt;span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v>
      </c>
      <c r="R499" s="14" t="str">
        <f>INDEX($L:$L, MATCH("means", $B:$B, 0))</f>
        <v>&lt;span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v>
      </c>
      <c r="S499" s="14" t="str">
        <f>INDEX($L:$L, MATCH("medieval", $B:$B, 0))</f>
        <v>&lt;span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v>
      </c>
      <c r="T499" s="15"/>
      <c r="AU499" s="15"/>
      <c r="AV499" s="1" t="s">
        <v>1502</v>
      </c>
      <c r="BG499" s="7" t="s">
        <v>1503</v>
      </c>
      <c r="BH499" s="1" t="s">
        <v>1947</v>
      </c>
      <c r="BI499" s="2" t="s">
        <v>7819</v>
      </c>
      <c r="BJ499" s="1" t="s">
        <v>2036</v>
      </c>
      <c r="BK499" s="2" t="s">
        <v>3502</v>
      </c>
      <c r="BL499" s="1" t="s">
        <v>1959</v>
      </c>
      <c r="BM499" s="1" t="s">
        <v>3503</v>
      </c>
      <c r="BN499" s="1" t="s">
        <v>1875</v>
      </c>
      <c r="BO499" s="2" t="s">
        <v>3504</v>
      </c>
    </row>
    <row r="500" spans="1:69" ht="198" x14ac:dyDescent="0.45">
      <c r="A500" s="5">
        <v>499</v>
      </c>
      <c r="B500" s="8" t="s">
        <v>332</v>
      </c>
      <c r="C500" s="6" t="s">
        <v>6852</v>
      </c>
      <c r="D500" s="7" t="s">
        <v>9794</v>
      </c>
      <c r="E500" s="1" t="s">
        <v>1701</v>
      </c>
      <c r="F500" s="1" t="s">
        <v>1379</v>
      </c>
      <c r="G500" s="1"/>
      <c r="J500" s="1" t="s">
        <v>9795</v>
      </c>
      <c r="K500" s="2" t="s">
        <v>7820</v>
      </c>
      <c r="L500" s="3" t="s">
        <v>8703</v>
      </c>
      <c r="P500" s="7" t="s">
        <v>1241</v>
      </c>
      <c r="AU500" s="15"/>
      <c r="AV500" s="1" t="s">
        <v>1502</v>
      </c>
      <c r="BG500" s="7" t="s">
        <v>1503</v>
      </c>
      <c r="BH500" s="1" t="s">
        <v>1947</v>
      </c>
      <c r="BI500" s="2" t="s">
        <v>3505</v>
      </c>
      <c r="BJ500" s="1" t="s">
        <v>1996</v>
      </c>
      <c r="BK500" s="1" t="s">
        <v>7821</v>
      </c>
      <c r="BL500" s="1" t="s">
        <v>1877</v>
      </c>
      <c r="BM500" s="2" t="s">
        <v>3506</v>
      </c>
    </row>
    <row r="501" spans="1:69" ht="234" x14ac:dyDescent="0.45">
      <c r="A501" s="5">
        <v>500</v>
      </c>
      <c r="B501" s="8" t="s">
        <v>333</v>
      </c>
      <c r="C501" s="6" t="s">
        <v>6854</v>
      </c>
      <c r="D501" s="7" t="s">
        <v>9794</v>
      </c>
      <c r="E501" s="1" t="s">
        <v>1702</v>
      </c>
      <c r="F501" s="1" t="s">
        <v>1703</v>
      </c>
      <c r="G501" s="1"/>
      <c r="J501" s="1" t="s">
        <v>9795</v>
      </c>
      <c r="K501" s="2" t="s">
        <v>7822</v>
      </c>
      <c r="L501" s="9" t="s">
        <v>8426</v>
      </c>
      <c r="P501" s="7" t="s">
        <v>1241</v>
      </c>
      <c r="AU501" s="15"/>
      <c r="AV501" s="1" t="s">
        <v>1502</v>
      </c>
      <c r="BG501" s="7" t="s">
        <v>1503</v>
      </c>
      <c r="BH501" s="1" t="s">
        <v>1872</v>
      </c>
      <c r="BI501" s="2" t="s">
        <v>3507</v>
      </c>
      <c r="BJ501" s="1" t="s">
        <v>1875</v>
      </c>
      <c r="BK501" s="2" t="s">
        <v>3508</v>
      </c>
    </row>
    <row r="502" spans="1:69" ht="198" x14ac:dyDescent="0.45">
      <c r="A502" s="5">
        <v>501</v>
      </c>
      <c r="B502" s="8" t="s">
        <v>1708</v>
      </c>
      <c r="C502" s="6" t="s">
        <v>1816</v>
      </c>
      <c r="D502" s="7" t="s">
        <v>9794</v>
      </c>
      <c r="E502" s="1" t="s">
        <v>1730</v>
      </c>
      <c r="F502" s="1" t="s">
        <v>8997</v>
      </c>
      <c r="G502" s="1"/>
      <c r="J502" s="1" t="s">
        <v>9795</v>
      </c>
      <c r="K502" s="2" t="s">
        <v>7823</v>
      </c>
      <c r="L502" s="3" t="s">
        <v>8427</v>
      </c>
      <c r="P502" s="7" t="s">
        <v>1241</v>
      </c>
      <c r="Q502" s="23"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R502" s="23"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S502" s="18" t="str">
        <f>INDEX($L:$L, MATCH("precious", $B:$B, 0))</f>
        <v>&lt;span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v>
      </c>
      <c r="AU502" s="15"/>
      <c r="AV502" s="1" t="s">
        <v>1502</v>
      </c>
      <c r="BG502" s="7" t="s">
        <v>1503</v>
      </c>
      <c r="BH502" s="1" t="s">
        <v>1976</v>
      </c>
      <c r="BI502" s="2" t="s">
        <v>3509</v>
      </c>
      <c r="BJ502" s="1" t="s">
        <v>1947</v>
      </c>
      <c r="BK502" s="2" t="s">
        <v>3510</v>
      </c>
      <c r="BL502" s="1" t="s">
        <v>1959</v>
      </c>
      <c r="BM502" s="1" t="s">
        <v>3511</v>
      </c>
      <c r="BN502" s="1" t="s">
        <v>1875</v>
      </c>
      <c r="BO502" s="2" t="s">
        <v>3512</v>
      </c>
    </row>
    <row r="503" spans="1:69" ht="144" x14ac:dyDescent="0.45">
      <c r="A503" s="5">
        <v>502</v>
      </c>
      <c r="B503" s="8" t="s">
        <v>334</v>
      </c>
      <c r="C503" s="6" t="s">
        <v>1816</v>
      </c>
      <c r="D503" s="7" t="s">
        <v>9794</v>
      </c>
      <c r="E503" s="1" t="s">
        <v>1725</v>
      </c>
      <c r="F503" s="1" t="s">
        <v>8891</v>
      </c>
      <c r="G503" s="1"/>
      <c r="J503" s="1" t="s">
        <v>9795</v>
      </c>
      <c r="K503" s="2" t="s">
        <v>7867</v>
      </c>
      <c r="L503" s="3" t="s">
        <v>8428</v>
      </c>
      <c r="M503" s="1" t="s">
        <v>12178</v>
      </c>
      <c r="P503" s="7" t="s">
        <v>1241</v>
      </c>
      <c r="Q503" s="13"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R503" s="13"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S503" s="13"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T503" s="13"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U503" s="15"/>
      <c r="AV503" s="1" t="s">
        <v>1502</v>
      </c>
      <c r="BG503" s="7" t="s">
        <v>1503</v>
      </c>
      <c r="BH503" s="1" t="s">
        <v>1947</v>
      </c>
      <c r="BI503" s="2" t="s">
        <v>3513</v>
      </c>
      <c r="BJ503" s="1" t="s">
        <v>1959</v>
      </c>
      <c r="BK503" s="2" t="s">
        <v>3514</v>
      </c>
      <c r="BL503" s="1" t="s">
        <v>1875</v>
      </c>
      <c r="BM503" s="2" t="s">
        <v>3515</v>
      </c>
    </row>
    <row r="504" spans="1:69" ht="108" x14ac:dyDescent="0.45">
      <c r="A504" s="5">
        <v>503</v>
      </c>
      <c r="B504" s="8" t="s">
        <v>1704</v>
      </c>
      <c r="C504" s="6" t="s">
        <v>1816</v>
      </c>
      <c r="D504" s="7" t="s">
        <v>9794</v>
      </c>
      <c r="E504" s="1" t="s">
        <v>46</v>
      </c>
      <c r="F504" s="1" t="s">
        <v>1705</v>
      </c>
      <c r="G504" s="1"/>
      <c r="J504" s="1" t="s">
        <v>9795</v>
      </c>
      <c r="K504" s="2" t="s">
        <v>7868</v>
      </c>
      <c r="L504" s="9" t="s">
        <v>8429</v>
      </c>
      <c r="P504" s="7" t="s">
        <v>1241</v>
      </c>
      <c r="AU504" s="15"/>
      <c r="AV504" s="1" t="s">
        <v>1502</v>
      </c>
      <c r="BG504" s="7" t="s">
        <v>1503</v>
      </c>
      <c r="BH504" s="1" t="s">
        <v>1947</v>
      </c>
      <c r="BI504" s="2" t="s">
        <v>3516</v>
      </c>
      <c r="BJ504" s="1" t="s">
        <v>1994</v>
      </c>
      <c r="BK504" s="2" t="s">
        <v>3517</v>
      </c>
      <c r="BL504" s="1" t="s">
        <v>1877</v>
      </c>
      <c r="BM504" s="2" t="s">
        <v>3518</v>
      </c>
    </row>
    <row r="505" spans="1:69" ht="180" x14ac:dyDescent="0.45">
      <c r="A505" s="5">
        <v>504</v>
      </c>
      <c r="B505" s="8" t="s">
        <v>335</v>
      </c>
      <c r="C505" s="6" t="s">
        <v>1816</v>
      </c>
      <c r="D505" s="7" t="s">
        <v>9794</v>
      </c>
      <c r="E505" s="1" t="s">
        <v>1251</v>
      </c>
      <c r="F505" s="1" t="s">
        <v>1078</v>
      </c>
      <c r="G505" s="1"/>
      <c r="J505" s="1" t="s">
        <v>9795</v>
      </c>
      <c r="K505" s="2" t="s">
        <v>7824</v>
      </c>
      <c r="L505" s="4" t="s">
        <v>8430</v>
      </c>
      <c r="M505" s="1" t="s">
        <v>12170</v>
      </c>
      <c r="P505" s="7" t="s">
        <v>1241</v>
      </c>
      <c r="Q505" s="14"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505" s="13"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S505" s="13"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v>
      </c>
      <c r="T505" s="13"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AU505" s="15"/>
      <c r="AV505" s="1" t="s">
        <v>1502</v>
      </c>
      <c r="BG505" s="7" t="s">
        <v>1503</v>
      </c>
      <c r="BH505" s="1" t="s">
        <v>1947</v>
      </c>
      <c r="BI505" s="2" t="s">
        <v>3519</v>
      </c>
      <c r="BJ505" s="1" t="s">
        <v>2026</v>
      </c>
      <c r="BK505" s="1" t="s">
        <v>3520</v>
      </c>
      <c r="BL505" s="1" t="s">
        <v>1959</v>
      </c>
      <c r="BM505" s="1" t="s">
        <v>3521</v>
      </c>
      <c r="BN505" s="1" t="s">
        <v>1875</v>
      </c>
      <c r="BO505" s="2" t="s">
        <v>3522</v>
      </c>
      <c r="BP505" s="1" t="s">
        <v>1877</v>
      </c>
      <c r="BQ505" s="2" t="s">
        <v>3523</v>
      </c>
    </row>
    <row r="506" spans="1:69" ht="234" x14ac:dyDescent="0.45">
      <c r="A506" s="5">
        <v>505</v>
      </c>
      <c r="B506" s="8" t="s">
        <v>1709</v>
      </c>
      <c r="C506" s="6" t="s">
        <v>1816</v>
      </c>
      <c r="D506" s="7" t="s">
        <v>9794</v>
      </c>
      <c r="E506" s="1" t="s">
        <v>8998</v>
      </c>
      <c r="F506" s="1" t="s">
        <v>1519</v>
      </c>
      <c r="G506" s="1"/>
      <c r="J506" s="1" t="s">
        <v>9795</v>
      </c>
      <c r="K506" s="2" t="s">
        <v>7825</v>
      </c>
      <c r="L506" s="4" t="s">
        <v>8431</v>
      </c>
      <c r="P506" s="7" t="s">
        <v>1241</v>
      </c>
      <c r="Q506" s="13" t="str">
        <f>INDEX($L:$L, MATCH("crisis", $B:$B, 0))</f>
        <v>&lt;span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v>
      </c>
      <c r="R506" s="13" t="str">
        <f>INDEX($L:$L, MATCH("criterion", $B:$B, 0))</f>
        <v>&lt;span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v>
      </c>
      <c r="AV506" s="1" t="s">
        <v>1502</v>
      </c>
      <c r="BG506" s="7" t="s">
        <v>1503</v>
      </c>
      <c r="BH506" s="1" t="s">
        <v>1976</v>
      </c>
      <c r="BI506" s="1" t="s">
        <v>3524</v>
      </c>
      <c r="BJ506" s="1" t="s">
        <v>2458</v>
      </c>
      <c r="BK506" s="2" t="s">
        <v>7826</v>
      </c>
      <c r="BL506" s="1" t="s">
        <v>1947</v>
      </c>
      <c r="BM506" s="1" t="s">
        <v>3525</v>
      </c>
      <c r="BN506" s="1" t="s">
        <v>3526</v>
      </c>
      <c r="BO506" s="1" t="s">
        <v>3527</v>
      </c>
      <c r="BP506" s="1" t="s">
        <v>1877</v>
      </c>
      <c r="BQ506" s="2" t="s">
        <v>3528</v>
      </c>
    </row>
    <row r="507" spans="1:69" ht="144" x14ac:dyDescent="0.45">
      <c r="A507" s="5">
        <v>506</v>
      </c>
      <c r="B507" s="8" t="s">
        <v>336</v>
      </c>
      <c r="C507" s="6" t="s">
        <v>1816</v>
      </c>
      <c r="D507" s="7" t="s">
        <v>9794</v>
      </c>
      <c r="E507" s="1" t="s">
        <v>1537</v>
      </c>
      <c r="F507" s="1" t="s">
        <v>1362</v>
      </c>
      <c r="G507" s="1"/>
      <c r="J507" s="1" t="s">
        <v>9795</v>
      </c>
      <c r="K507" s="2" t="s">
        <v>7827</v>
      </c>
      <c r="L507" s="9" t="s">
        <v>8432</v>
      </c>
      <c r="P507" s="7" t="s">
        <v>1241</v>
      </c>
      <c r="Q507" s="13"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R507" s="13"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AU507" s="15"/>
      <c r="AV507" s="1" t="s">
        <v>1502</v>
      </c>
      <c r="BG507" s="7" t="s">
        <v>1503</v>
      </c>
      <c r="BH507" s="1" t="s">
        <v>1872</v>
      </c>
      <c r="BI507" s="2" t="s">
        <v>7828</v>
      </c>
      <c r="BJ507" s="1" t="s">
        <v>1875</v>
      </c>
      <c r="BK507" s="2" t="s">
        <v>3529</v>
      </c>
    </row>
    <row r="508" spans="1:69" ht="216" x14ac:dyDescent="0.45">
      <c r="A508" s="5">
        <v>507</v>
      </c>
      <c r="B508" s="8" t="s">
        <v>1710</v>
      </c>
      <c r="C508" s="6" t="s">
        <v>1816</v>
      </c>
      <c r="D508" s="7" t="s">
        <v>9794</v>
      </c>
      <c r="E508" s="1" t="s">
        <v>1397</v>
      </c>
      <c r="F508" s="1" t="s">
        <v>1332</v>
      </c>
      <c r="G508" s="1"/>
      <c r="J508" s="1" t="s">
        <v>9795</v>
      </c>
      <c r="K508" s="2" t="s">
        <v>7829</v>
      </c>
      <c r="L508" s="3" t="s">
        <v>8433</v>
      </c>
      <c r="M508" s="1" t="s">
        <v>12211</v>
      </c>
      <c r="P508" s="7" t="s">
        <v>1241</v>
      </c>
      <c r="Q508" s="14"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508" s="14"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S508" s="14"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T508" s="1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U508" s="14"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V508"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U508" s="15"/>
      <c r="AV508" s="1" t="s">
        <v>1502</v>
      </c>
      <c r="BG508" s="7" t="s">
        <v>1503</v>
      </c>
      <c r="BH508" s="1" t="s">
        <v>1947</v>
      </c>
      <c r="BI508" s="2" t="s">
        <v>7830</v>
      </c>
      <c r="BJ508" s="1" t="s">
        <v>1959</v>
      </c>
      <c r="BK508" s="1" t="s">
        <v>3530</v>
      </c>
      <c r="BL508" s="1" t="s">
        <v>1875</v>
      </c>
      <c r="BM508" s="2" t="s">
        <v>3531</v>
      </c>
    </row>
    <row r="509" spans="1:69" ht="234" x14ac:dyDescent="0.45">
      <c r="A509" s="5">
        <v>508</v>
      </c>
      <c r="B509" s="8" t="s">
        <v>337</v>
      </c>
      <c r="C509" s="6" t="s">
        <v>1816</v>
      </c>
      <c r="D509" s="7" t="s">
        <v>9794</v>
      </c>
      <c r="E509" s="1" t="s">
        <v>27</v>
      </c>
      <c r="F509" s="1" t="s">
        <v>1326</v>
      </c>
      <c r="G509" s="1"/>
      <c r="J509" s="1" t="s">
        <v>9795</v>
      </c>
      <c r="K509" s="2" t="s">
        <v>7831</v>
      </c>
      <c r="L509" s="4" t="s">
        <v>8434</v>
      </c>
      <c r="M509" s="1" t="s">
        <v>12261</v>
      </c>
      <c r="P509" s="7" t="s">
        <v>1241</v>
      </c>
      <c r="Q509" s="14"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R509" s="14"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S509" s="14"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T509" s="14"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U509" s="14"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V509" s="14"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W509" s="15"/>
      <c r="AU509" s="15"/>
      <c r="AV509" s="1" t="s">
        <v>1502</v>
      </c>
      <c r="BG509" s="7" t="s">
        <v>1503</v>
      </c>
      <c r="BH509" s="1" t="s">
        <v>1947</v>
      </c>
      <c r="BI509" s="2" t="s">
        <v>3532</v>
      </c>
      <c r="BJ509" s="1" t="s">
        <v>1959</v>
      </c>
      <c r="BK509" s="1" t="s">
        <v>3533</v>
      </c>
      <c r="BL509" s="1" t="s">
        <v>1875</v>
      </c>
      <c r="BM509" s="2" t="s">
        <v>3534</v>
      </c>
    </row>
    <row r="510" spans="1:69" ht="396" x14ac:dyDescent="0.45">
      <c r="A510" s="5">
        <v>509</v>
      </c>
      <c r="B510" s="8" t="s">
        <v>1711</v>
      </c>
      <c r="C510" s="6" t="s">
        <v>1816</v>
      </c>
      <c r="D510" s="7" t="s">
        <v>9794</v>
      </c>
      <c r="E510" s="1" t="s">
        <v>1447</v>
      </c>
      <c r="F510" s="1" t="s">
        <v>6431</v>
      </c>
      <c r="G510" s="1"/>
      <c r="J510" s="1" t="s">
        <v>9795</v>
      </c>
      <c r="K510" s="1" t="s">
        <v>7832</v>
      </c>
      <c r="L510" s="4" t="s">
        <v>8435</v>
      </c>
      <c r="M510" s="1" t="s">
        <v>12256</v>
      </c>
      <c r="P510" s="7" t="s">
        <v>1241</v>
      </c>
      <c r="Q510" s="14"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510"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S510" s="14"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T510" s="14"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U510" s="14"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V510"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510" s="15"/>
      <c r="AV510" s="1" t="s">
        <v>1502</v>
      </c>
      <c r="BG510" s="7" t="s">
        <v>1503</v>
      </c>
      <c r="BH510" s="1" t="s">
        <v>1947</v>
      </c>
      <c r="BI510" s="2" t="s">
        <v>3535</v>
      </c>
      <c r="BJ510" s="1" t="s">
        <v>1959</v>
      </c>
      <c r="BK510" s="1" t="s">
        <v>3536</v>
      </c>
      <c r="BL510" s="1" t="s">
        <v>2114</v>
      </c>
      <c r="BM510" s="2" t="s">
        <v>3537</v>
      </c>
      <c r="BN510" s="1" t="s">
        <v>1875</v>
      </c>
      <c r="BO510" s="1" t="s">
        <v>7833</v>
      </c>
    </row>
    <row r="511" spans="1:69" ht="144" x14ac:dyDescent="0.45">
      <c r="A511" s="5">
        <v>510</v>
      </c>
      <c r="B511" s="8" t="s">
        <v>338</v>
      </c>
      <c r="C511" s="6" t="s">
        <v>1816</v>
      </c>
      <c r="D511" s="7" t="s">
        <v>9794</v>
      </c>
      <c r="E511" s="1" t="s">
        <v>1595</v>
      </c>
      <c r="F511" s="1" t="s">
        <v>1706</v>
      </c>
      <c r="G511" s="1"/>
      <c r="J511" s="1" t="s">
        <v>9795</v>
      </c>
      <c r="K511" s="2" t="s">
        <v>7834</v>
      </c>
      <c r="L511" s="9" t="s">
        <v>8436</v>
      </c>
      <c r="P511" s="7" t="s">
        <v>1241</v>
      </c>
      <c r="Q511" s="13" t="str">
        <f>INDEX($L:$L, MATCH("pronounce", $B:$B, 0))</f>
        <v>&lt;span class="w"&gt;&lt;b&gt;【911.pronounce：〜を発音する, 〜を宣言する】&lt;/b&gt;&lt;/span&gt;
&lt;span class="ml"&gt;ラテン語に由来する語で、以下の2つの要素から成る。
&lt;span class="spacer"&gt;&lt;/span&gt;pro（前へ）
nuntius（使者）から派生したnuntiare（告知する）
&lt;span class="spacer"&gt;&lt;/span&gt;この語は、使者が人前へ出て大きな声で伝えるイメージ。そこから、言葉を声に出すこと＝「発音する」や何かを「宣言する」という意味になった。
&lt;div class="sample_image pronounce"&gt;&lt;/div&gt;&lt;/span&gt;</v>
      </c>
      <c r="AU511" s="15"/>
      <c r="AV511" s="1" t="s">
        <v>1502</v>
      </c>
      <c r="BG511" s="7" t="s">
        <v>1503</v>
      </c>
      <c r="BH511" s="1" t="s">
        <v>1947</v>
      </c>
      <c r="BI511" s="2" t="s">
        <v>3538</v>
      </c>
      <c r="BJ511" s="1" t="s">
        <v>1959</v>
      </c>
      <c r="BK511" s="2" t="s">
        <v>3539</v>
      </c>
      <c r="BL511" s="1" t="s">
        <v>1875</v>
      </c>
      <c r="BM511" s="2" t="s">
        <v>3540</v>
      </c>
    </row>
    <row r="512" spans="1:69" ht="180" x14ac:dyDescent="0.45">
      <c r="A512" s="5">
        <v>511</v>
      </c>
      <c r="B512" s="8" t="s">
        <v>339</v>
      </c>
      <c r="C512" s="6" t="s">
        <v>1816</v>
      </c>
      <c r="D512" s="7" t="s">
        <v>9794</v>
      </c>
      <c r="E512" s="1" t="s">
        <v>339</v>
      </c>
      <c r="F512" s="1"/>
      <c r="G512" s="1"/>
      <c r="J512" s="1" t="s">
        <v>9795</v>
      </c>
      <c r="K512" s="2" t="s">
        <v>7835</v>
      </c>
      <c r="L512" s="3" t="s">
        <v>8437</v>
      </c>
      <c r="P512" s="7" t="s">
        <v>1241</v>
      </c>
      <c r="Q512" s="14"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R512" s="13" t="str">
        <f>INDEX($L:$L, MATCH("incredible", $B:$B, 0))</f>
        <v>&lt;span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v>
      </c>
      <c r="AU512" s="15"/>
      <c r="AV512" s="1" t="s">
        <v>1502</v>
      </c>
      <c r="BG512" s="7" t="s">
        <v>1503</v>
      </c>
      <c r="BH512" s="1" t="s">
        <v>1947</v>
      </c>
      <c r="BI512" s="2" t="s">
        <v>3541</v>
      </c>
      <c r="BJ512" s="1" t="s">
        <v>1959</v>
      </c>
      <c r="BK512" s="2" t="s">
        <v>3542</v>
      </c>
      <c r="BL512" s="1" t="s">
        <v>1875</v>
      </c>
      <c r="BM512" s="2" t="s">
        <v>3543</v>
      </c>
      <c r="BN512" s="1" t="s">
        <v>1877</v>
      </c>
      <c r="BO512" s="2" t="s">
        <v>3544</v>
      </c>
    </row>
    <row r="513" spans="1:71" ht="90" x14ac:dyDescent="0.45">
      <c r="A513" s="5">
        <v>512</v>
      </c>
      <c r="B513" s="8" t="s">
        <v>340</v>
      </c>
      <c r="C513" s="6" t="s">
        <v>1816</v>
      </c>
      <c r="D513" s="7" t="s">
        <v>9794</v>
      </c>
      <c r="E513" s="6" t="s">
        <v>340</v>
      </c>
      <c r="F513" s="1"/>
      <c r="G513" s="1"/>
      <c r="J513" s="1" t="s">
        <v>9795</v>
      </c>
      <c r="K513" s="2" t="s">
        <v>7836</v>
      </c>
      <c r="L513" s="9" t="s">
        <v>8438</v>
      </c>
      <c r="P513" s="7" t="s">
        <v>1241</v>
      </c>
      <c r="AU513" s="15"/>
      <c r="AV513" s="1" t="s">
        <v>1502</v>
      </c>
      <c r="BG513" s="7" t="s">
        <v>1503</v>
      </c>
      <c r="BH513" s="1" t="s">
        <v>1872</v>
      </c>
      <c r="BI513" s="2" t="s">
        <v>3545</v>
      </c>
      <c r="BJ513" s="1" t="s">
        <v>1875</v>
      </c>
      <c r="BK513" s="2" t="s">
        <v>3546</v>
      </c>
      <c r="BL513" s="1" t="s">
        <v>1877</v>
      </c>
      <c r="BM513" s="2" t="s">
        <v>3547</v>
      </c>
      <c r="BN513" s="1" t="s">
        <v>3497</v>
      </c>
      <c r="BO513" s="2" t="s">
        <v>3548</v>
      </c>
    </row>
    <row r="514" spans="1:71" ht="409.6" x14ac:dyDescent="0.45">
      <c r="A514" s="5">
        <v>513</v>
      </c>
      <c r="B514" s="8" t="s">
        <v>1712</v>
      </c>
      <c r="C514" s="6" t="s">
        <v>1816</v>
      </c>
      <c r="D514" s="7" t="s">
        <v>9794</v>
      </c>
      <c r="E514" s="1" t="s">
        <v>1343</v>
      </c>
      <c r="F514" s="1" t="s">
        <v>4640</v>
      </c>
      <c r="G514" s="1"/>
      <c r="J514" s="1" t="s">
        <v>9795</v>
      </c>
      <c r="K514" s="2" t="s">
        <v>7741</v>
      </c>
      <c r="L514" s="3" t="s">
        <v>8439</v>
      </c>
      <c r="M514" s="1" t="s">
        <v>12207</v>
      </c>
      <c r="P514" s="7" t="s">
        <v>1241</v>
      </c>
      <c r="Q514" s="1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514" s="14"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514" s="1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514" s="14"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514" s="1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V514" s="1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514" s="1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514" s="1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514" s="14"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514" s="1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514" s="1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514" s="1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514" s="14"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514" s="1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514" s="1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F514" s="15"/>
      <c r="AG514" s="15"/>
      <c r="AU514" s="15"/>
      <c r="AV514" s="1" t="s">
        <v>1502</v>
      </c>
      <c r="BG514" s="7" t="s">
        <v>1503</v>
      </c>
      <c r="BH514" s="1" t="s">
        <v>1947</v>
      </c>
      <c r="BI514" s="2" t="s">
        <v>7837</v>
      </c>
      <c r="BJ514" s="1" t="s">
        <v>1959</v>
      </c>
      <c r="BK514" s="2" t="s">
        <v>3549</v>
      </c>
      <c r="BL514" s="1" t="s">
        <v>1875</v>
      </c>
      <c r="BM514" s="2" t="s">
        <v>3550</v>
      </c>
      <c r="BN514" s="1" t="s">
        <v>1877</v>
      </c>
      <c r="BO514" s="2" t="s">
        <v>3551</v>
      </c>
    </row>
    <row r="515" spans="1:71" ht="360" x14ac:dyDescent="0.45">
      <c r="A515" s="5">
        <v>514</v>
      </c>
      <c r="B515" s="8" t="s">
        <v>1713</v>
      </c>
      <c r="C515" s="6" t="s">
        <v>1816</v>
      </c>
      <c r="D515" s="7" t="s">
        <v>9794</v>
      </c>
      <c r="E515" s="1" t="s">
        <v>8999</v>
      </c>
      <c r="F515" s="1" t="s">
        <v>1250</v>
      </c>
      <c r="G515" s="1"/>
      <c r="J515" s="1" t="s">
        <v>9795</v>
      </c>
      <c r="K515" s="2" t="s">
        <v>7838</v>
      </c>
      <c r="L515" s="4" t="s">
        <v>8440</v>
      </c>
      <c r="M515" s="1" t="s">
        <v>12169</v>
      </c>
      <c r="P515" s="7" t="s">
        <v>1241</v>
      </c>
      <c r="Q515" s="1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515" s="1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515" s="1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515" s="1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515" s="1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V515" s="1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515" s="1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515"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515" s="15"/>
      <c r="AV515" s="1" t="s">
        <v>1502</v>
      </c>
      <c r="BG515" s="7" t="s">
        <v>1503</v>
      </c>
      <c r="BH515" s="1" t="s">
        <v>1947</v>
      </c>
      <c r="BI515" s="2" t="s">
        <v>3552</v>
      </c>
      <c r="BJ515" s="1" t="s">
        <v>1959</v>
      </c>
      <c r="BK515" s="2" t="s">
        <v>3553</v>
      </c>
      <c r="BL515" s="1" t="s">
        <v>1875</v>
      </c>
      <c r="BM515" s="2" t="s">
        <v>3554</v>
      </c>
      <c r="BN515" s="1" t="s">
        <v>1877</v>
      </c>
      <c r="BO515" s="2" t="s">
        <v>3555</v>
      </c>
    </row>
    <row r="516" spans="1:71" ht="90" x14ac:dyDescent="0.45">
      <c r="A516" s="5">
        <v>515</v>
      </c>
      <c r="B516" s="8" t="s">
        <v>341</v>
      </c>
      <c r="C516" s="6" t="s">
        <v>1816</v>
      </c>
      <c r="D516" s="7" t="s">
        <v>9794</v>
      </c>
      <c r="E516" s="6" t="s">
        <v>341</v>
      </c>
      <c r="F516" s="1"/>
      <c r="G516" s="1"/>
      <c r="J516" s="1" t="s">
        <v>9795</v>
      </c>
      <c r="K516" s="2" t="s">
        <v>3556</v>
      </c>
      <c r="L516" s="9" t="s">
        <v>8441</v>
      </c>
      <c r="P516" s="7" t="s">
        <v>1241</v>
      </c>
      <c r="AV516" s="1" t="s">
        <v>1502</v>
      </c>
      <c r="BG516" s="7" t="s">
        <v>1503</v>
      </c>
      <c r="BH516" s="1" t="s">
        <v>1872</v>
      </c>
      <c r="BI516" s="1" t="s">
        <v>7839</v>
      </c>
    </row>
    <row r="517" spans="1:71" ht="216" x14ac:dyDescent="0.45">
      <c r="A517" s="5">
        <v>516</v>
      </c>
      <c r="B517" s="8" t="s">
        <v>1714</v>
      </c>
      <c r="C517" s="6" t="s">
        <v>1816</v>
      </c>
      <c r="D517" s="7" t="s">
        <v>9794</v>
      </c>
      <c r="E517" s="1" t="s">
        <v>1825</v>
      </c>
      <c r="F517" s="1" t="s">
        <v>9000</v>
      </c>
      <c r="G517" s="1"/>
      <c r="H517" s="1" t="s">
        <v>1259</v>
      </c>
      <c r="J517" s="1" t="s">
        <v>9795</v>
      </c>
      <c r="K517" s="2" t="s">
        <v>7840</v>
      </c>
      <c r="L517" s="3" t="s">
        <v>8442</v>
      </c>
      <c r="P517" s="7" t="s">
        <v>1241</v>
      </c>
      <c r="Q517" s="14"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517" s="14"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S517" s="14"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T517" s="14"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U517" s="15"/>
      <c r="AU517" s="15"/>
      <c r="AV517" s="1" t="s">
        <v>1502</v>
      </c>
      <c r="BG517" s="7" t="s">
        <v>1503</v>
      </c>
      <c r="BH517" s="1" t="s">
        <v>2458</v>
      </c>
      <c r="BI517" s="2" t="s">
        <v>3557</v>
      </c>
      <c r="BJ517" s="1" t="s">
        <v>1947</v>
      </c>
      <c r="BK517" s="1" t="s">
        <v>3558</v>
      </c>
      <c r="BL517" s="1" t="s">
        <v>1877</v>
      </c>
      <c r="BM517" s="2" t="s">
        <v>3559</v>
      </c>
    </row>
    <row r="518" spans="1:71" ht="324" x14ac:dyDescent="0.45">
      <c r="A518" s="5">
        <v>517</v>
      </c>
      <c r="B518" s="8" t="s">
        <v>1715</v>
      </c>
      <c r="C518" s="6" t="s">
        <v>1816</v>
      </c>
      <c r="D518" s="7" t="s">
        <v>9794</v>
      </c>
      <c r="E518" s="1" t="s">
        <v>1825</v>
      </c>
      <c r="F518" s="1" t="s">
        <v>9001</v>
      </c>
      <c r="G518" s="1"/>
      <c r="J518" s="1" t="s">
        <v>9795</v>
      </c>
      <c r="K518" s="2" t="s">
        <v>7841</v>
      </c>
      <c r="L518" s="3" t="s">
        <v>8443</v>
      </c>
      <c r="M518" s="1" t="s">
        <v>12209</v>
      </c>
      <c r="P518" s="7" t="s">
        <v>1241</v>
      </c>
      <c r="Q518" s="1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518" s="1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518"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T518" s="1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U518"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518" s="14"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518" s="14"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X518" s="15"/>
      <c r="Y518" s="15"/>
      <c r="AU518" s="15"/>
      <c r="AV518" s="1" t="s">
        <v>1502</v>
      </c>
      <c r="BG518" s="7" t="s">
        <v>1503</v>
      </c>
      <c r="BH518" s="1" t="s">
        <v>1947</v>
      </c>
      <c r="BI518" s="2" t="s">
        <v>3560</v>
      </c>
      <c r="BJ518" s="1" t="s">
        <v>2036</v>
      </c>
      <c r="BK518" s="1" t="s">
        <v>3561</v>
      </c>
      <c r="BL518" s="1" t="s">
        <v>1959</v>
      </c>
      <c r="BM518" s="2" t="s">
        <v>3562</v>
      </c>
      <c r="BN518" s="1" t="s">
        <v>1875</v>
      </c>
      <c r="BO518" s="2" t="s">
        <v>3563</v>
      </c>
      <c r="BP518" s="1" t="s">
        <v>1877</v>
      </c>
      <c r="BQ518" s="2" t="s">
        <v>3564</v>
      </c>
    </row>
    <row r="519" spans="1:71" ht="180" x14ac:dyDescent="0.45">
      <c r="A519" s="5">
        <v>518</v>
      </c>
      <c r="B519" s="8" t="s">
        <v>1716</v>
      </c>
      <c r="C519" s="6" t="s">
        <v>1816</v>
      </c>
      <c r="D519" s="7" t="s">
        <v>9794</v>
      </c>
      <c r="E519" s="1" t="s">
        <v>342</v>
      </c>
      <c r="F519" s="1"/>
      <c r="G519" s="1"/>
      <c r="J519" s="1" t="s">
        <v>9795</v>
      </c>
      <c r="K519" s="2" t="s">
        <v>7842</v>
      </c>
      <c r="L519" s="4" t="s">
        <v>8444</v>
      </c>
      <c r="P519" s="7" t="s">
        <v>1241</v>
      </c>
      <c r="Q519" s="14"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R519" s="13" t="str">
        <f>INDEX($L:$L, MATCH("incredible", $B:$B, 0))</f>
        <v>&lt;span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v>
      </c>
      <c r="AU519" s="15"/>
      <c r="AV519" s="1" t="s">
        <v>1502</v>
      </c>
      <c r="BG519" s="7" t="s">
        <v>1503</v>
      </c>
      <c r="BH519" s="1" t="s">
        <v>1947</v>
      </c>
      <c r="BI519" s="2" t="s">
        <v>3565</v>
      </c>
      <c r="BJ519" s="1" t="s">
        <v>3566</v>
      </c>
      <c r="BK519" s="1" t="s">
        <v>3567</v>
      </c>
      <c r="BL519" s="1" t="s">
        <v>1996</v>
      </c>
      <c r="BM519" s="2" t="s">
        <v>3568</v>
      </c>
      <c r="BN519" s="1" t="s">
        <v>1877</v>
      </c>
      <c r="BO519" s="2" t="s">
        <v>3569</v>
      </c>
    </row>
    <row r="520" spans="1:71" ht="234" x14ac:dyDescent="0.45">
      <c r="A520" s="5">
        <v>519</v>
      </c>
      <c r="B520" s="8" t="s">
        <v>1717</v>
      </c>
      <c r="C520" s="6" t="s">
        <v>1816</v>
      </c>
      <c r="D520" s="7" t="s">
        <v>9794</v>
      </c>
      <c r="E520" s="1" t="s">
        <v>1725</v>
      </c>
      <c r="F520" s="1" t="s">
        <v>1326</v>
      </c>
      <c r="G520" s="1"/>
      <c r="J520" s="1" t="s">
        <v>9795</v>
      </c>
      <c r="K520" s="2" t="s">
        <v>7843</v>
      </c>
      <c r="L520" s="4" t="s">
        <v>8445</v>
      </c>
      <c r="M520" s="1" t="s">
        <v>12261</v>
      </c>
      <c r="P520" s="7" t="s">
        <v>1241</v>
      </c>
      <c r="Q520" s="14"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520" s="14"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S520" s="14"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T520" s="14"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U520" s="14"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V520" s="14"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W520" s="15"/>
      <c r="AU520" s="15"/>
      <c r="AV520" s="1" t="s">
        <v>1502</v>
      </c>
      <c r="BG520" s="7" t="s">
        <v>1503</v>
      </c>
      <c r="BH520" s="1" t="s">
        <v>1947</v>
      </c>
      <c r="BI520" s="2" t="s">
        <v>3570</v>
      </c>
      <c r="BJ520" s="1" t="s">
        <v>1959</v>
      </c>
      <c r="BK520" s="1" t="s">
        <v>3571</v>
      </c>
      <c r="BL520" s="1" t="s">
        <v>1875</v>
      </c>
      <c r="BM520" s="2" t="s">
        <v>3572</v>
      </c>
      <c r="BN520" s="1" t="s">
        <v>1877</v>
      </c>
      <c r="BO520" s="2" t="s">
        <v>3573</v>
      </c>
    </row>
    <row r="521" spans="1:71" ht="234" x14ac:dyDescent="0.45">
      <c r="A521" s="5">
        <v>520</v>
      </c>
      <c r="B521" s="8" t="s">
        <v>1718</v>
      </c>
      <c r="C521" s="6" t="s">
        <v>1816</v>
      </c>
      <c r="D521" s="7" t="s">
        <v>9794</v>
      </c>
      <c r="E521" s="1" t="s">
        <v>46</v>
      </c>
      <c r="F521" s="1" t="s">
        <v>7747</v>
      </c>
      <c r="G521" s="1"/>
      <c r="J521" s="1" t="s">
        <v>9795</v>
      </c>
      <c r="K521" s="2" t="s">
        <v>7844</v>
      </c>
      <c r="L521" s="3" t="s">
        <v>8446</v>
      </c>
      <c r="M521" s="1" t="s">
        <v>12216</v>
      </c>
      <c r="P521" s="7" t="s">
        <v>1241</v>
      </c>
      <c r="Q521" s="14"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521"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S521" s="14"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T521" s="14"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521"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V521"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521" s="15"/>
      <c r="AV521" s="1" t="s">
        <v>1502</v>
      </c>
      <c r="BG521" s="7" t="s">
        <v>1503</v>
      </c>
      <c r="BH521" s="1" t="s">
        <v>1947</v>
      </c>
      <c r="BI521" s="2" t="s">
        <v>3574</v>
      </c>
      <c r="BJ521" s="1" t="s">
        <v>1877</v>
      </c>
      <c r="BK521" s="2" t="s">
        <v>3575</v>
      </c>
    </row>
    <row r="522" spans="1:71" ht="180" x14ac:dyDescent="0.45">
      <c r="A522" s="5">
        <v>521</v>
      </c>
      <c r="B522" s="8" t="s">
        <v>343</v>
      </c>
      <c r="C522" s="6" t="s">
        <v>1816</v>
      </c>
      <c r="D522" s="7" t="s">
        <v>9794</v>
      </c>
      <c r="E522" s="1" t="s">
        <v>1621</v>
      </c>
      <c r="F522" s="1" t="s">
        <v>1707</v>
      </c>
      <c r="G522" s="1"/>
      <c r="J522" s="1" t="s">
        <v>9795</v>
      </c>
      <c r="K522" s="2" t="s">
        <v>7845</v>
      </c>
      <c r="L522" s="9" t="s">
        <v>8447</v>
      </c>
      <c r="P522" s="7" t="s">
        <v>1241</v>
      </c>
      <c r="AU522" s="15"/>
      <c r="AV522" s="1" t="s">
        <v>1502</v>
      </c>
      <c r="BG522" s="7" t="s">
        <v>1503</v>
      </c>
      <c r="BH522" s="1" t="s">
        <v>1872</v>
      </c>
      <c r="BI522" s="2" t="s">
        <v>3576</v>
      </c>
      <c r="BJ522" s="1" t="s">
        <v>1875</v>
      </c>
      <c r="BK522" s="2" t="s">
        <v>3577</v>
      </c>
      <c r="BL522" s="1" t="s">
        <v>1877</v>
      </c>
      <c r="BM522" s="1" t="s">
        <v>3578</v>
      </c>
    </row>
    <row r="523" spans="1:71" ht="108" x14ac:dyDescent="0.45">
      <c r="A523" s="5">
        <v>522</v>
      </c>
      <c r="B523" s="8" t="s">
        <v>344</v>
      </c>
      <c r="C523" s="6" t="s">
        <v>1816</v>
      </c>
      <c r="D523" s="7" t="s">
        <v>9794</v>
      </c>
      <c r="E523" s="6" t="s">
        <v>344</v>
      </c>
      <c r="F523" s="1"/>
      <c r="G523" s="1"/>
      <c r="J523" s="1" t="s">
        <v>9795</v>
      </c>
      <c r="K523" s="2" t="s">
        <v>7846</v>
      </c>
      <c r="L523" s="9" t="s">
        <v>8448</v>
      </c>
      <c r="P523" s="7" t="s">
        <v>1241</v>
      </c>
      <c r="Q523" s="19" t="str">
        <f>INDEX($L:$L, MATCH("debate", $B:$B, 0))</f>
        <v>&lt;span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v>
      </c>
      <c r="AV523" s="1" t="s">
        <v>1502</v>
      </c>
      <c r="BG523" s="7" t="s">
        <v>1503</v>
      </c>
      <c r="BH523" s="1" t="s">
        <v>1872</v>
      </c>
      <c r="BI523" s="1" t="s">
        <v>3579</v>
      </c>
      <c r="BJ523" s="1" t="s">
        <v>1875</v>
      </c>
      <c r="BK523" s="2" t="s">
        <v>3580</v>
      </c>
      <c r="BL523" s="1" t="s">
        <v>1877</v>
      </c>
      <c r="BM523" s="2" t="s">
        <v>3581</v>
      </c>
    </row>
    <row r="524" spans="1:71" ht="162" x14ac:dyDescent="0.45">
      <c r="A524" s="5">
        <v>523</v>
      </c>
      <c r="B524" s="8" t="s">
        <v>345</v>
      </c>
      <c r="C524" s="6" t="s">
        <v>1816</v>
      </c>
      <c r="D524" s="7" t="s">
        <v>9794</v>
      </c>
      <c r="E524" s="1" t="s">
        <v>1251</v>
      </c>
      <c r="F524" s="1" t="s">
        <v>1719</v>
      </c>
      <c r="G524" s="1"/>
      <c r="J524" s="1" t="s">
        <v>9795</v>
      </c>
      <c r="K524" s="2"/>
      <c r="L524" s="9" t="s">
        <v>9246</v>
      </c>
      <c r="P524" s="7" t="s">
        <v>1241</v>
      </c>
      <c r="AU524" s="15"/>
      <c r="AV524" s="1" t="s">
        <v>1502</v>
      </c>
      <c r="BG524" s="7" t="s">
        <v>1503</v>
      </c>
      <c r="BH524" s="1" t="s">
        <v>1959</v>
      </c>
      <c r="BI524" s="2" t="s">
        <v>3582</v>
      </c>
      <c r="BJ524" s="1" t="s">
        <v>1875</v>
      </c>
      <c r="BK524" s="2" t="s">
        <v>3583</v>
      </c>
      <c r="BL524" s="1" t="s">
        <v>1877</v>
      </c>
      <c r="BM524" s="2" t="s">
        <v>3584</v>
      </c>
    </row>
    <row r="525" spans="1:71" ht="324" x14ac:dyDescent="0.45">
      <c r="A525" s="5">
        <v>524</v>
      </c>
      <c r="B525" s="8" t="s">
        <v>346</v>
      </c>
      <c r="C525" s="6" t="s">
        <v>1816</v>
      </c>
      <c r="D525" s="7" t="s">
        <v>9794</v>
      </c>
      <c r="E525" s="1" t="s">
        <v>49</v>
      </c>
      <c r="F525" s="1" t="s">
        <v>1720</v>
      </c>
      <c r="G525" s="1"/>
      <c r="J525" s="1" t="s">
        <v>9795</v>
      </c>
      <c r="K525" s="2" t="s">
        <v>7847</v>
      </c>
      <c r="L525" s="9" t="s">
        <v>8449</v>
      </c>
      <c r="M525" s="1" t="s">
        <v>12262</v>
      </c>
      <c r="P525" s="7" t="s">
        <v>1241</v>
      </c>
      <c r="Q525" s="14"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R525" s="14"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ミステリ小説などで使われる「アリバイ」という言葉は、ラテン語aliusが、場所を意味する形になったalibi（他の場所）に由来する。事件当時に他の場所にいたことを示すことから、alibiという語が使われるようになった。&lt;/span&gt;</v>
      </c>
      <c r="S525" s="13"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AU525" s="15"/>
      <c r="AV525" s="1" t="s">
        <v>1502</v>
      </c>
      <c r="BG525" s="7" t="s">
        <v>1503</v>
      </c>
      <c r="BH525" s="1" t="s">
        <v>1976</v>
      </c>
      <c r="BI525" s="2" t="s">
        <v>3585</v>
      </c>
      <c r="BJ525" s="1" t="s">
        <v>1947</v>
      </c>
      <c r="BK525" s="2" t="s">
        <v>3586</v>
      </c>
      <c r="BL525" s="1" t="s">
        <v>1967</v>
      </c>
      <c r="BM525" s="1" t="s">
        <v>3587</v>
      </c>
      <c r="BN525" s="1" t="s">
        <v>1959</v>
      </c>
      <c r="BO525" s="1" t="s">
        <v>3588</v>
      </c>
      <c r="BP525" s="1" t="s">
        <v>1875</v>
      </c>
      <c r="BQ525" s="2" t="s">
        <v>3589</v>
      </c>
      <c r="BR525" s="1" t="s">
        <v>1877</v>
      </c>
      <c r="BS525" s="2" t="s">
        <v>3590</v>
      </c>
    </row>
    <row r="526" spans="1:71" ht="162" x14ac:dyDescent="0.45">
      <c r="A526" s="5">
        <v>525</v>
      </c>
      <c r="B526" s="8" t="s">
        <v>347</v>
      </c>
      <c r="C526" s="6" t="s">
        <v>1816</v>
      </c>
      <c r="D526" s="7" t="s">
        <v>9794</v>
      </c>
      <c r="E526" s="1" t="s">
        <v>1721</v>
      </c>
      <c r="F526" s="1" t="s">
        <v>1722</v>
      </c>
      <c r="G526" s="1"/>
      <c r="J526" s="1" t="s">
        <v>9795</v>
      </c>
      <c r="K526" s="2" t="s">
        <v>7848</v>
      </c>
      <c r="L526" s="3" t="s">
        <v>8450</v>
      </c>
      <c r="P526" s="7" t="s">
        <v>1241</v>
      </c>
      <c r="AU526" s="15"/>
      <c r="AV526" s="1" t="s">
        <v>1502</v>
      </c>
      <c r="BG526" s="7" t="s">
        <v>1503</v>
      </c>
      <c r="BH526" s="1" t="s">
        <v>1947</v>
      </c>
      <c r="BI526" s="2" t="s">
        <v>3591</v>
      </c>
      <c r="BJ526" s="1" t="s">
        <v>1959</v>
      </c>
      <c r="BK526" s="2" t="s">
        <v>3592</v>
      </c>
      <c r="BL526" s="1" t="s">
        <v>1875</v>
      </c>
      <c r="BM526" s="2" t="s">
        <v>3593</v>
      </c>
      <c r="BN526" s="1" t="s">
        <v>1877</v>
      </c>
      <c r="BO526" s="2" t="s">
        <v>3594</v>
      </c>
    </row>
    <row r="527" spans="1:71" ht="180" x14ac:dyDescent="0.45">
      <c r="A527" s="5">
        <v>526</v>
      </c>
      <c r="B527" s="8" t="s">
        <v>348</v>
      </c>
      <c r="C527" s="6" t="s">
        <v>1816</v>
      </c>
      <c r="D527" s="7" t="s">
        <v>9794</v>
      </c>
      <c r="E527" s="1" t="s">
        <v>1505</v>
      </c>
      <c r="F527" s="1" t="s">
        <v>1329</v>
      </c>
      <c r="G527" s="1" t="s">
        <v>1723</v>
      </c>
      <c r="J527" s="1" t="s">
        <v>9795</v>
      </c>
      <c r="K527" s="2" t="s">
        <v>7849</v>
      </c>
      <c r="L527" s="2" t="s">
        <v>9247</v>
      </c>
      <c r="P527" s="7" t="s">
        <v>1241</v>
      </c>
      <c r="AU527" s="15"/>
      <c r="AV527" s="1" t="s">
        <v>1502</v>
      </c>
      <c r="BG527" s="7" t="s">
        <v>1503</v>
      </c>
      <c r="BH527" s="1" t="s">
        <v>1947</v>
      </c>
      <c r="BI527" s="2" t="s">
        <v>3595</v>
      </c>
      <c r="BJ527" s="1" t="s">
        <v>1959</v>
      </c>
      <c r="BK527" s="2" t="s">
        <v>7850</v>
      </c>
      <c r="BL527" s="1" t="s">
        <v>1875</v>
      </c>
      <c r="BM527" s="2" t="s">
        <v>3596</v>
      </c>
    </row>
    <row r="528" spans="1:71" ht="396" x14ac:dyDescent="0.45">
      <c r="A528" s="5">
        <v>527</v>
      </c>
      <c r="B528" s="8" t="s">
        <v>1724</v>
      </c>
      <c r="C528" s="6" t="s">
        <v>1816</v>
      </c>
      <c r="D528" s="7" t="s">
        <v>9794</v>
      </c>
      <c r="E528" s="1" t="s">
        <v>1834</v>
      </c>
      <c r="F528" s="1"/>
      <c r="G528" s="1"/>
      <c r="J528" s="1" t="s">
        <v>9795</v>
      </c>
      <c r="K528" s="2"/>
      <c r="L528" s="4" t="s">
        <v>8451</v>
      </c>
      <c r="M528" s="1" t="s">
        <v>12256</v>
      </c>
      <c r="P528" s="7" t="s">
        <v>1241</v>
      </c>
      <c r="Q528" s="14"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528"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S528" s="14"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T528" s="14"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U528" s="14"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V528"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528" s="15"/>
      <c r="AV528" s="1" t="s">
        <v>1502</v>
      </c>
      <c r="BG528" s="7" t="s">
        <v>1503</v>
      </c>
      <c r="BH528" s="1" t="s">
        <v>1947</v>
      </c>
      <c r="BI528" s="2" t="s">
        <v>3597</v>
      </c>
      <c r="BJ528" s="1" t="s">
        <v>1959</v>
      </c>
      <c r="BK528" s="1" t="s">
        <v>3598</v>
      </c>
      <c r="BL528" s="1" t="s">
        <v>1875</v>
      </c>
      <c r="BM528" s="2" t="s">
        <v>3599</v>
      </c>
    </row>
    <row r="529" spans="1:71" ht="198" x14ac:dyDescent="0.45">
      <c r="A529" s="5">
        <v>528</v>
      </c>
      <c r="B529" s="8" t="s">
        <v>349</v>
      </c>
      <c r="C529" s="6" t="s">
        <v>1816</v>
      </c>
      <c r="D529" s="7" t="s">
        <v>9794</v>
      </c>
      <c r="E529" s="1" t="s">
        <v>1725</v>
      </c>
      <c r="F529" s="1" t="s">
        <v>1726</v>
      </c>
      <c r="G529" s="1"/>
      <c r="J529" s="1" t="s">
        <v>9795</v>
      </c>
      <c r="K529" s="2" t="s">
        <v>7851</v>
      </c>
      <c r="L529" s="9" t="s">
        <v>8452</v>
      </c>
      <c r="M529" s="1" t="s">
        <v>12215</v>
      </c>
      <c r="P529" s="7" t="s">
        <v>1241</v>
      </c>
      <c r="Q529" s="14"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R529" s="14"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S529" s="14"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T529" s="15"/>
      <c r="AU529" s="15"/>
      <c r="AV529" s="1" t="s">
        <v>1502</v>
      </c>
      <c r="BG529" s="7" t="s">
        <v>1503</v>
      </c>
      <c r="BH529" s="1" t="s">
        <v>1947</v>
      </c>
      <c r="BI529" s="2" t="s">
        <v>3600</v>
      </c>
      <c r="BJ529" s="1" t="s">
        <v>1959</v>
      </c>
      <c r="BK529" s="1" t="s">
        <v>3601</v>
      </c>
      <c r="BL529" s="1" t="s">
        <v>1875</v>
      </c>
      <c r="BM529" s="2" t="s">
        <v>3602</v>
      </c>
      <c r="BN529" s="1" t="s">
        <v>1877</v>
      </c>
      <c r="BO529" s="2" t="s">
        <v>3603</v>
      </c>
    </row>
    <row r="530" spans="1:71" ht="180" x14ac:dyDescent="0.45">
      <c r="A530" s="5">
        <v>529</v>
      </c>
      <c r="B530" s="8" t="s">
        <v>350</v>
      </c>
      <c r="C530" s="6" t="s">
        <v>1816</v>
      </c>
      <c r="D530" s="7" t="s">
        <v>9794</v>
      </c>
      <c r="E530" s="6" t="s">
        <v>350</v>
      </c>
      <c r="F530" s="1"/>
      <c r="G530" s="1"/>
      <c r="J530" s="1" t="s">
        <v>9795</v>
      </c>
      <c r="K530" s="2" t="s">
        <v>7852</v>
      </c>
      <c r="L530" s="2" t="s">
        <v>8453</v>
      </c>
      <c r="P530" s="7" t="s">
        <v>1241</v>
      </c>
      <c r="AU530" s="15"/>
      <c r="AV530" s="1" t="s">
        <v>1502</v>
      </c>
      <c r="BG530" s="7" t="s">
        <v>1503</v>
      </c>
      <c r="BH530" s="1" t="s">
        <v>1947</v>
      </c>
      <c r="BI530" s="2" t="s">
        <v>3604</v>
      </c>
      <c r="BJ530" s="1" t="s">
        <v>1959</v>
      </c>
      <c r="BK530" s="1" t="s">
        <v>3605</v>
      </c>
      <c r="BL530" s="1" t="s">
        <v>2114</v>
      </c>
      <c r="BM530" s="2" t="s">
        <v>3606</v>
      </c>
      <c r="BN530" s="1" t="s">
        <v>1875</v>
      </c>
      <c r="BO530" s="2" t="s">
        <v>3607</v>
      </c>
      <c r="BP530" s="1" t="s">
        <v>1877</v>
      </c>
      <c r="BQ530" s="2" t="s">
        <v>3608</v>
      </c>
    </row>
    <row r="531" spans="1:71" ht="72" x14ac:dyDescent="0.45">
      <c r="A531" s="5">
        <v>530</v>
      </c>
      <c r="B531" s="8" t="s">
        <v>351</v>
      </c>
      <c r="C531" s="6" t="s">
        <v>1816</v>
      </c>
      <c r="D531" s="7" t="s">
        <v>9794</v>
      </c>
      <c r="E531" s="1" t="s">
        <v>351</v>
      </c>
      <c r="F531" s="1"/>
      <c r="G531" s="1"/>
      <c r="J531" s="1" t="s">
        <v>9795</v>
      </c>
      <c r="K531" s="2" t="s">
        <v>7853</v>
      </c>
      <c r="L531" s="9" t="s">
        <v>8454</v>
      </c>
      <c r="P531" s="7" t="s">
        <v>1241</v>
      </c>
      <c r="AU531" s="15"/>
      <c r="AV531" s="1" t="s">
        <v>1502</v>
      </c>
      <c r="BG531" s="7" t="s">
        <v>1503</v>
      </c>
      <c r="BH531" s="1" t="s">
        <v>1872</v>
      </c>
      <c r="BI531" s="2" t="s">
        <v>3609</v>
      </c>
      <c r="BJ531" s="1" t="s">
        <v>1877</v>
      </c>
      <c r="BK531" s="2" t="s">
        <v>3610</v>
      </c>
    </row>
    <row r="532" spans="1:71" ht="108" x14ac:dyDescent="0.45">
      <c r="A532" s="5">
        <v>531</v>
      </c>
      <c r="B532" s="8" t="s">
        <v>352</v>
      </c>
      <c r="C532" s="6" t="s">
        <v>1816</v>
      </c>
      <c r="D532" s="7" t="s">
        <v>9794</v>
      </c>
      <c r="E532" s="6" t="s">
        <v>352</v>
      </c>
      <c r="F532" s="1"/>
      <c r="G532" s="1"/>
      <c r="J532" s="1" t="s">
        <v>9795</v>
      </c>
      <c r="K532" s="2" t="s">
        <v>7854</v>
      </c>
      <c r="L532" s="9" t="s">
        <v>8455</v>
      </c>
      <c r="P532" s="7" t="s">
        <v>1241</v>
      </c>
      <c r="AV532" s="1" t="s">
        <v>1502</v>
      </c>
      <c r="BG532" s="7" t="s">
        <v>1503</v>
      </c>
      <c r="BH532" s="1" t="s">
        <v>2036</v>
      </c>
      <c r="BI532" s="1" t="s">
        <v>7855</v>
      </c>
      <c r="BJ532" s="1" t="s">
        <v>2026</v>
      </c>
      <c r="BK532" s="1" t="s">
        <v>3611</v>
      </c>
      <c r="BL532" s="1" t="s">
        <v>1959</v>
      </c>
      <c r="BM532" s="1" t="s">
        <v>3612</v>
      </c>
      <c r="BN532" s="1" t="s">
        <v>1875</v>
      </c>
      <c r="BO532" s="2" t="s">
        <v>3613</v>
      </c>
    </row>
    <row r="533" spans="1:71" ht="126" x14ac:dyDescent="0.45">
      <c r="A533" s="5">
        <v>532</v>
      </c>
      <c r="B533" s="8" t="s">
        <v>353</v>
      </c>
      <c r="C533" s="6" t="s">
        <v>1816</v>
      </c>
      <c r="D533" s="7" t="s">
        <v>9794</v>
      </c>
      <c r="E533" s="1" t="s">
        <v>353</v>
      </c>
      <c r="F533" s="1"/>
      <c r="G533" s="1"/>
      <c r="J533" s="1" t="s">
        <v>9795</v>
      </c>
      <c r="K533" s="2" t="s">
        <v>1727</v>
      </c>
      <c r="L533" s="9" t="s">
        <v>10416</v>
      </c>
      <c r="P533" s="7" t="s">
        <v>1241</v>
      </c>
      <c r="AV533" s="1" t="s">
        <v>1502</v>
      </c>
      <c r="BG533" s="7" t="s">
        <v>1503</v>
      </c>
      <c r="BH533" s="1" t="s">
        <v>1872</v>
      </c>
      <c r="BI533" s="1" t="s">
        <v>3614</v>
      </c>
      <c r="BJ533" s="1" t="s">
        <v>1875</v>
      </c>
      <c r="BK533" s="2" t="s">
        <v>3615</v>
      </c>
    </row>
    <row r="534" spans="1:71" ht="90" x14ac:dyDescent="0.45">
      <c r="A534" s="5">
        <v>533</v>
      </c>
      <c r="B534" s="8" t="s">
        <v>354</v>
      </c>
      <c r="C534" s="6" t="s">
        <v>1816</v>
      </c>
      <c r="D534" s="7" t="s">
        <v>9794</v>
      </c>
      <c r="E534" s="1" t="s">
        <v>354</v>
      </c>
      <c r="F534" s="1"/>
      <c r="G534" s="1"/>
      <c r="J534" s="1" t="s">
        <v>9795</v>
      </c>
      <c r="K534" s="2" t="s">
        <v>10706</v>
      </c>
      <c r="L534" s="2" t="s">
        <v>8456</v>
      </c>
      <c r="P534" s="7" t="s">
        <v>1241</v>
      </c>
      <c r="AU534" s="15"/>
      <c r="AV534" s="1" t="s">
        <v>1502</v>
      </c>
      <c r="BG534" s="7" t="s">
        <v>1503</v>
      </c>
      <c r="BH534" s="1" t="s">
        <v>1947</v>
      </c>
      <c r="BI534" s="2" t="s">
        <v>3616</v>
      </c>
      <c r="BJ534" s="1" t="s">
        <v>3526</v>
      </c>
      <c r="BK534" s="2" t="s">
        <v>3617</v>
      </c>
      <c r="BL534" s="1" t="s">
        <v>1877</v>
      </c>
      <c r="BM534" s="2" t="s">
        <v>3618</v>
      </c>
    </row>
    <row r="535" spans="1:71" ht="108" x14ac:dyDescent="0.45">
      <c r="A535" s="5">
        <v>534</v>
      </c>
      <c r="B535" s="8" t="s">
        <v>355</v>
      </c>
      <c r="C535" s="6" t="s">
        <v>1816</v>
      </c>
      <c r="D535" s="7" t="s">
        <v>9794</v>
      </c>
      <c r="E535" s="1" t="s">
        <v>1251</v>
      </c>
      <c r="F535" s="1" t="s">
        <v>1728</v>
      </c>
      <c r="G535" s="1"/>
      <c r="J535" s="1" t="s">
        <v>9795</v>
      </c>
      <c r="K535" s="2" t="s">
        <v>7856</v>
      </c>
      <c r="L535" s="9" t="s">
        <v>8457</v>
      </c>
      <c r="P535" s="7" t="s">
        <v>1241</v>
      </c>
      <c r="AU535" s="15"/>
      <c r="AV535" s="1" t="s">
        <v>1502</v>
      </c>
      <c r="BG535" s="7" t="s">
        <v>1503</v>
      </c>
      <c r="BH535" s="1" t="s">
        <v>1947</v>
      </c>
      <c r="BI535" s="2" t="s">
        <v>3619</v>
      </c>
      <c r="BJ535" s="1" t="s">
        <v>1967</v>
      </c>
      <c r="BK535" s="1" t="s">
        <v>3620</v>
      </c>
      <c r="BL535" s="1" t="s">
        <v>1959</v>
      </c>
      <c r="BM535" s="1" t="s">
        <v>3621</v>
      </c>
      <c r="BN535" s="1" t="s">
        <v>2114</v>
      </c>
      <c r="BO535" s="2" t="s">
        <v>3622</v>
      </c>
      <c r="BP535" s="1" t="s">
        <v>1875</v>
      </c>
      <c r="BQ535" s="2" t="s">
        <v>3623</v>
      </c>
      <c r="BR535" s="1" t="s">
        <v>1877</v>
      </c>
      <c r="BS535" s="2" t="s">
        <v>3624</v>
      </c>
    </row>
    <row r="536" spans="1:71" ht="144" x14ac:dyDescent="0.45">
      <c r="A536" s="5">
        <v>535</v>
      </c>
      <c r="B536" s="8" t="s">
        <v>356</v>
      </c>
      <c r="C536" s="6" t="s">
        <v>1816</v>
      </c>
      <c r="D536" s="7" t="s">
        <v>9794</v>
      </c>
      <c r="E536" s="6" t="s">
        <v>356</v>
      </c>
      <c r="F536" s="1"/>
      <c r="G536" s="1"/>
      <c r="J536" s="1" t="s">
        <v>9795</v>
      </c>
      <c r="K536" s="2" t="s">
        <v>7857</v>
      </c>
      <c r="L536" s="9" t="s">
        <v>8458</v>
      </c>
      <c r="P536" s="7" t="s">
        <v>1241</v>
      </c>
      <c r="AU536" s="15"/>
      <c r="AV536" s="1" t="s">
        <v>1502</v>
      </c>
      <c r="BG536" s="7" t="s">
        <v>1503</v>
      </c>
      <c r="BH536" s="1" t="s">
        <v>1947</v>
      </c>
      <c r="BI536" s="2" t="s">
        <v>7858</v>
      </c>
      <c r="BJ536" s="1" t="s">
        <v>1875</v>
      </c>
      <c r="BK536" s="2" t="s">
        <v>3625</v>
      </c>
      <c r="BL536" s="1" t="s">
        <v>1877</v>
      </c>
      <c r="BM536" s="2" t="s">
        <v>3626</v>
      </c>
    </row>
    <row r="537" spans="1:71" ht="252" x14ac:dyDescent="0.45">
      <c r="A537" s="5">
        <v>536</v>
      </c>
      <c r="B537" s="8" t="s">
        <v>1729</v>
      </c>
      <c r="C537" s="6" t="s">
        <v>1816</v>
      </c>
      <c r="D537" s="7" t="s">
        <v>9794</v>
      </c>
      <c r="E537" s="1" t="s">
        <v>4884</v>
      </c>
      <c r="F537" s="1" t="s">
        <v>9002</v>
      </c>
      <c r="G537" s="1"/>
      <c r="J537" s="1" t="s">
        <v>9795</v>
      </c>
      <c r="K537" s="2" t="s">
        <v>7859</v>
      </c>
      <c r="L537" s="4" t="s">
        <v>8459</v>
      </c>
      <c r="P537" s="7" t="s">
        <v>1241</v>
      </c>
      <c r="Q537" s="14"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537" s="14"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537" s="14"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T537" s="14"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U537"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537"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537" s="15"/>
      <c r="AV537" s="1" t="s">
        <v>1502</v>
      </c>
      <c r="BG537" s="7" t="s">
        <v>1503</v>
      </c>
      <c r="BH537" s="1" t="s">
        <v>1947</v>
      </c>
      <c r="BI537" s="2" t="s">
        <v>3627</v>
      </c>
      <c r="BJ537" s="1" t="s">
        <v>1967</v>
      </c>
      <c r="BK537" s="1" t="s">
        <v>3628</v>
      </c>
      <c r="BL537" s="1" t="s">
        <v>1996</v>
      </c>
      <c r="BM537" s="2" t="s">
        <v>3629</v>
      </c>
      <c r="BN537" s="1" t="s">
        <v>1877</v>
      </c>
      <c r="BO537" s="2" t="s">
        <v>7860</v>
      </c>
    </row>
    <row r="538" spans="1:71" ht="378" x14ac:dyDescent="0.45">
      <c r="A538" s="5">
        <v>537</v>
      </c>
      <c r="B538" s="8" t="s">
        <v>357</v>
      </c>
      <c r="C538" s="6" t="s">
        <v>1816</v>
      </c>
      <c r="D538" s="7" t="s">
        <v>9794</v>
      </c>
      <c r="E538" s="1" t="s">
        <v>1730</v>
      </c>
      <c r="F538" s="1" t="s">
        <v>1731</v>
      </c>
      <c r="G538" s="1"/>
      <c r="J538" s="1" t="s">
        <v>9795</v>
      </c>
      <c r="K538" s="2" t="s">
        <v>7861</v>
      </c>
      <c r="L538" s="4" t="s">
        <v>8460</v>
      </c>
      <c r="M538" s="1" t="s">
        <v>12228</v>
      </c>
      <c r="P538" s="7" t="s">
        <v>1241</v>
      </c>
      <c r="Q538" s="1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538" s="1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538" s="1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538" s="1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538" s="1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538" s="1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538" s="1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538" s="1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538" s="15"/>
      <c r="AV538" s="1" t="s">
        <v>1502</v>
      </c>
      <c r="BG538" s="7" t="s">
        <v>1503</v>
      </c>
      <c r="BH538" s="1" t="s">
        <v>1947</v>
      </c>
      <c r="BI538" s="2" t="s">
        <v>3630</v>
      </c>
      <c r="BJ538" s="1" t="s">
        <v>1875</v>
      </c>
      <c r="BK538" s="2" t="s">
        <v>3631</v>
      </c>
      <c r="BL538" s="1" t="s">
        <v>1877</v>
      </c>
      <c r="BM538" s="2" t="s">
        <v>3632</v>
      </c>
    </row>
    <row r="539" spans="1:71" ht="198" x14ac:dyDescent="0.45">
      <c r="A539" s="5">
        <v>538</v>
      </c>
      <c r="B539" s="8" t="s">
        <v>358</v>
      </c>
      <c r="C539" s="6" t="s">
        <v>1816</v>
      </c>
      <c r="D539" s="7" t="s">
        <v>9794</v>
      </c>
      <c r="E539" s="1" t="s">
        <v>1542</v>
      </c>
      <c r="F539" s="1" t="s">
        <v>123</v>
      </c>
      <c r="G539" s="1"/>
      <c r="J539" s="1" t="s">
        <v>9795</v>
      </c>
      <c r="K539" s="2" t="s">
        <v>7862</v>
      </c>
      <c r="L539" s="3" t="s">
        <v>8461</v>
      </c>
      <c r="P539" s="7" t="s">
        <v>1241</v>
      </c>
      <c r="Q539" s="13" t="str">
        <f>INDEX($L:$L, MATCH("range", $B:$B, 0))</f>
        <v>&lt;span class="w"&gt;&lt;b&gt;【156.range：範囲】&lt;/b&gt;&lt;/span&gt;
&lt;span class="ml"&gt;古フランス語renge（列, 隊列）に由来する。
&lt;span class="spacer"&gt;&lt;/span&gt;広く長く伸びる兵士の隊列
から、何かが広がる「範囲」という意味になる。
&lt;div class="sample_image range"&gt;&lt;/div&gt;&lt;/span&gt;</v>
      </c>
      <c r="AU539" s="15"/>
      <c r="AV539" s="1" t="s">
        <v>1502</v>
      </c>
      <c r="BG539" s="7" t="s">
        <v>1503</v>
      </c>
      <c r="BH539" s="1" t="s">
        <v>1959</v>
      </c>
      <c r="BI539" s="2" t="s">
        <v>7863</v>
      </c>
      <c r="BJ539" s="1" t="s">
        <v>1875</v>
      </c>
      <c r="BK539" s="2" t="s">
        <v>3633</v>
      </c>
      <c r="BL539" s="1" t="s">
        <v>1877</v>
      </c>
      <c r="BM539" s="2" t="s">
        <v>3634</v>
      </c>
    </row>
    <row r="540" spans="1:71" ht="180" x14ac:dyDescent="0.45">
      <c r="A540" s="5">
        <v>539</v>
      </c>
      <c r="B540" s="8" t="s">
        <v>359</v>
      </c>
      <c r="C540" s="6" t="s">
        <v>1816</v>
      </c>
      <c r="D540" s="7" t="s">
        <v>9794</v>
      </c>
      <c r="E540" s="1" t="s">
        <v>1459</v>
      </c>
      <c r="F540" s="1" t="s">
        <v>1732</v>
      </c>
      <c r="G540" s="1"/>
      <c r="J540" s="1" t="s">
        <v>9795</v>
      </c>
      <c r="K540" s="2" t="s">
        <v>7864</v>
      </c>
      <c r="L540" s="9" t="s">
        <v>8462</v>
      </c>
      <c r="P540" s="7" t="s">
        <v>1241</v>
      </c>
      <c r="AU540" s="15"/>
      <c r="AV540" s="1" t="s">
        <v>1502</v>
      </c>
      <c r="BG540" s="7" t="s">
        <v>1503</v>
      </c>
      <c r="BH540" s="1" t="s">
        <v>1947</v>
      </c>
      <c r="BI540" s="2" t="s">
        <v>7865</v>
      </c>
      <c r="BJ540" s="1" t="s">
        <v>1959</v>
      </c>
      <c r="BK540" s="1" t="s">
        <v>3635</v>
      </c>
      <c r="BL540" s="1" t="s">
        <v>1875</v>
      </c>
      <c r="BM540" s="2" t="s">
        <v>3636</v>
      </c>
      <c r="BN540" s="1" t="s">
        <v>1996</v>
      </c>
      <c r="BO540" s="2" t="s">
        <v>3637</v>
      </c>
      <c r="BP540" s="1" t="s">
        <v>1877</v>
      </c>
      <c r="BQ540" s="2" t="s">
        <v>3638</v>
      </c>
    </row>
    <row r="541" spans="1:71" ht="144" x14ac:dyDescent="0.45">
      <c r="A541" s="5">
        <v>540</v>
      </c>
      <c r="B541" s="8" t="s">
        <v>1733</v>
      </c>
      <c r="C541" s="6" t="s">
        <v>1816</v>
      </c>
      <c r="D541" s="7" t="s">
        <v>9794</v>
      </c>
      <c r="E541" s="1" t="s">
        <v>46</v>
      </c>
      <c r="F541" s="1" t="s">
        <v>263</v>
      </c>
      <c r="G541" s="1"/>
      <c r="J541" s="1" t="s">
        <v>9795</v>
      </c>
      <c r="K541" s="2" t="s">
        <v>7866</v>
      </c>
      <c r="L541" s="3" t="s">
        <v>8463</v>
      </c>
      <c r="P541" s="7" t="s">
        <v>1241</v>
      </c>
      <c r="Q541" s="13" t="str">
        <f>INDEX($L:$L, MATCH("firm", $B:$B, 0))</f>
        <v>&lt;span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v>
      </c>
      <c r="AU541" s="15"/>
      <c r="AV541" s="1" t="s">
        <v>1502</v>
      </c>
      <c r="BG541" s="7" t="s">
        <v>1503</v>
      </c>
      <c r="BH541" s="1" t="s">
        <v>1947</v>
      </c>
      <c r="BI541" s="2" t="s">
        <v>3639</v>
      </c>
      <c r="BJ541" s="1" t="s">
        <v>1959</v>
      </c>
      <c r="BK541" s="2" t="s">
        <v>3640</v>
      </c>
      <c r="BL541" s="1" t="s">
        <v>1875</v>
      </c>
      <c r="BM541" s="2" t="s">
        <v>3641</v>
      </c>
    </row>
    <row r="542" spans="1:71" ht="108" x14ac:dyDescent="0.45">
      <c r="A542" s="5">
        <v>541</v>
      </c>
      <c r="B542" s="8" t="s">
        <v>1734</v>
      </c>
      <c r="C542" s="6" t="s">
        <v>6851</v>
      </c>
      <c r="D542" s="7" t="s">
        <v>9794</v>
      </c>
      <c r="E542" s="1" t="s">
        <v>27</v>
      </c>
      <c r="F542" s="1" t="s">
        <v>249</v>
      </c>
      <c r="G542" s="1"/>
      <c r="J542" s="1" t="s">
        <v>9795</v>
      </c>
      <c r="K542" s="2" t="s">
        <v>7869</v>
      </c>
      <c r="L542" s="4" t="s">
        <v>8464</v>
      </c>
      <c r="P542" s="7" t="s">
        <v>1241</v>
      </c>
      <c r="AU542" s="15"/>
      <c r="AV542" s="1" t="s">
        <v>1502</v>
      </c>
      <c r="BG542" s="7" t="s">
        <v>1503</v>
      </c>
      <c r="BH542" s="1" t="s">
        <v>1872</v>
      </c>
      <c r="BI542" s="2" t="s">
        <v>3642</v>
      </c>
      <c r="BJ542" s="1" t="s">
        <v>1875</v>
      </c>
      <c r="BK542" s="2" t="s">
        <v>3643</v>
      </c>
      <c r="BL542" s="1" t="s">
        <v>1877</v>
      </c>
      <c r="BM542" s="2" t="s">
        <v>3644</v>
      </c>
    </row>
    <row r="543" spans="1:71" ht="126" x14ac:dyDescent="0.45">
      <c r="A543" s="5">
        <v>542</v>
      </c>
      <c r="B543" s="8" t="s">
        <v>360</v>
      </c>
      <c r="C543" s="6" t="s">
        <v>6851</v>
      </c>
      <c r="D543" s="7" t="s">
        <v>9794</v>
      </c>
      <c r="E543" s="1" t="s">
        <v>27</v>
      </c>
      <c r="F543" s="1" t="s">
        <v>7870</v>
      </c>
      <c r="G543" s="1" t="s">
        <v>1584</v>
      </c>
      <c r="J543" s="1" t="s">
        <v>9795</v>
      </c>
      <c r="K543" s="2" t="s">
        <v>7871</v>
      </c>
      <c r="L543" s="4" t="s">
        <v>8465</v>
      </c>
      <c r="P543" s="7" t="s">
        <v>1241</v>
      </c>
      <c r="Q543" s="13" t="str">
        <f>INDEX($L:$L, MATCH("novel", $B:$B, 0))</f>
        <v>&lt;span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v>
      </c>
      <c r="R543" s="13" t="str">
        <f>INDEX($L:$L, MATCH("renew", $B:$B, 0))</f>
        <v>&lt;span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v>
      </c>
      <c r="AU543" s="15"/>
      <c r="AV543" s="1" t="s">
        <v>1502</v>
      </c>
      <c r="BG543" s="7" t="s">
        <v>1503</v>
      </c>
      <c r="BH543" s="1" t="s">
        <v>1947</v>
      </c>
      <c r="BI543" s="2" t="s">
        <v>3645</v>
      </c>
      <c r="BJ543" s="1" t="s">
        <v>2036</v>
      </c>
      <c r="BK543" s="2" t="s">
        <v>5080</v>
      </c>
      <c r="BL543" s="1" t="s">
        <v>1875</v>
      </c>
      <c r="BM543" s="2" t="s">
        <v>3646</v>
      </c>
    </row>
    <row r="544" spans="1:71" ht="108" x14ac:dyDescent="0.45">
      <c r="A544" s="5">
        <v>543</v>
      </c>
      <c r="B544" s="8" t="s">
        <v>361</v>
      </c>
      <c r="C544" s="6" t="s">
        <v>6851</v>
      </c>
      <c r="D544" s="7" t="s">
        <v>9794</v>
      </c>
      <c r="E544" s="6" t="s">
        <v>1909</v>
      </c>
      <c r="F544" s="1" t="s">
        <v>1910</v>
      </c>
      <c r="G544" s="1"/>
      <c r="J544" s="1" t="s">
        <v>9795</v>
      </c>
      <c r="K544" s="2"/>
      <c r="L544" s="3" t="s">
        <v>8466</v>
      </c>
      <c r="P544" s="7" t="s">
        <v>1241</v>
      </c>
      <c r="AU544" s="15"/>
      <c r="AV544" s="1" t="s">
        <v>1502</v>
      </c>
      <c r="BG544" s="7" t="s">
        <v>1503</v>
      </c>
      <c r="BH544" s="1" t="s">
        <v>1947</v>
      </c>
      <c r="BI544" s="2" t="s">
        <v>3647</v>
      </c>
      <c r="BJ544" s="1" t="s">
        <v>1959</v>
      </c>
      <c r="BK544" s="2" t="s">
        <v>3648</v>
      </c>
      <c r="BL544" s="1" t="s">
        <v>1875</v>
      </c>
      <c r="BM544" s="1" t="s">
        <v>3649</v>
      </c>
      <c r="BN544" s="1" t="s">
        <v>1877</v>
      </c>
      <c r="BO544" s="2" t="s">
        <v>7872</v>
      </c>
    </row>
    <row r="545" spans="1:71" ht="288" x14ac:dyDescent="0.45">
      <c r="A545" s="5">
        <v>544</v>
      </c>
      <c r="B545" s="8" t="s">
        <v>362</v>
      </c>
      <c r="C545" s="6" t="s">
        <v>6851</v>
      </c>
      <c r="D545" s="7" t="s">
        <v>9794</v>
      </c>
      <c r="E545" s="1" t="s">
        <v>362</v>
      </c>
      <c r="F545" s="1"/>
      <c r="G545" s="1"/>
      <c r="J545" s="1" t="s">
        <v>9795</v>
      </c>
      <c r="K545" s="2" t="s">
        <v>7873</v>
      </c>
      <c r="L545" s="9" t="s">
        <v>8467</v>
      </c>
      <c r="P545" s="7" t="s">
        <v>1241</v>
      </c>
      <c r="AV545" s="1" t="s">
        <v>1502</v>
      </c>
      <c r="BG545" s="7" t="s">
        <v>1503</v>
      </c>
      <c r="BH545" s="1" t="s">
        <v>1872</v>
      </c>
      <c r="BI545" s="1" t="s">
        <v>3650</v>
      </c>
      <c r="BJ545" s="1" t="s">
        <v>1959</v>
      </c>
      <c r="BK545" s="1" t="s">
        <v>3651</v>
      </c>
      <c r="BL545" s="1" t="s">
        <v>2114</v>
      </c>
      <c r="BM545" s="1" t="s">
        <v>362</v>
      </c>
      <c r="BN545" s="1" t="s">
        <v>1875</v>
      </c>
      <c r="BO545" s="2" t="s">
        <v>7874</v>
      </c>
    </row>
    <row r="546" spans="1:71" ht="409.6" x14ac:dyDescent="0.45">
      <c r="A546" s="5">
        <v>545</v>
      </c>
      <c r="B546" s="8" t="s">
        <v>1735</v>
      </c>
      <c r="C546" s="6" t="s">
        <v>6851</v>
      </c>
      <c r="D546" s="7" t="s">
        <v>9794</v>
      </c>
      <c r="E546" s="1" t="s">
        <v>1413</v>
      </c>
      <c r="F546" s="1" t="s">
        <v>1736</v>
      </c>
      <c r="G546" s="1"/>
      <c r="J546" s="1" t="s">
        <v>9795</v>
      </c>
      <c r="K546" s="2" t="s">
        <v>7875</v>
      </c>
      <c r="L546" s="4" t="s">
        <v>10503</v>
      </c>
      <c r="M546" s="1" t="s">
        <v>12181</v>
      </c>
      <c r="P546" s="7" t="s">
        <v>1241</v>
      </c>
      <c r="Q546" s="14"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546" s="14"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546" s="14"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T546" s="14"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U546" s="14"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546" s="14"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546" s="15"/>
      <c r="AU546" s="15"/>
      <c r="AV546" s="1" t="s">
        <v>1502</v>
      </c>
      <c r="BG546" s="7" t="s">
        <v>1503</v>
      </c>
      <c r="BH546" s="1" t="s">
        <v>1947</v>
      </c>
      <c r="BI546" s="2" t="s">
        <v>3652</v>
      </c>
      <c r="BJ546" s="1" t="s">
        <v>1959</v>
      </c>
      <c r="BK546" s="1" t="s">
        <v>3653</v>
      </c>
      <c r="BL546" s="1" t="s">
        <v>2114</v>
      </c>
      <c r="BM546" s="1" t="s">
        <v>3654</v>
      </c>
      <c r="BN546" s="1" t="s">
        <v>1875</v>
      </c>
      <c r="BO546" s="2" t="s">
        <v>3655</v>
      </c>
    </row>
    <row r="547" spans="1:71" ht="180" x14ac:dyDescent="0.45">
      <c r="A547" s="5">
        <v>546</v>
      </c>
      <c r="B547" s="8" t="s">
        <v>1737</v>
      </c>
      <c r="C547" s="6" t="s">
        <v>6851</v>
      </c>
      <c r="D547" s="7" t="s">
        <v>9794</v>
      </c>
      <c r="E547" s="1" t="s">
        <v>363</v>
      </c>
      <c r="F547" s="1"/>
      <c r="G547" s="1"/>
      <c r="J547" s="1" t="s">
        <v>9795</v>
      </c>
      <c r="K547" s="2" t="s">
        <v>7876</v>
      </c>
      <c r="L547" s="3" t="s">
        <v>8468</v>
      </c>
      <c r="M547" s="1" t="s">
        <v>12201</v>
      </c>
      <c r="P547" s="7" t="s">
        <v>1241</v>
      </c>
      <c r="Q547" s="14"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547" s="13"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AU547" s="15"/>
      <c r="AV547" s="1" t="s">
        <v>1502</v>
      </c>
      <c r="BG547" s="7" t="s">
        <v>1503</v>
      </c>
      <c r="BH547" s="1" t="s">
        <v>1947</v>
      </c>
      <c r="BI547" s="2" t="s">
        <v>3656</v>
      </c>
      <c r="BJ547" s="1" t="s">
        <v>1959</v>
      </c>
      <c r="BK547" s="1" t="s">
        <v>3657</v>
      </c>
      <c r="BL547" s="1" t="s">
        <v>1875</v>
      </c>
      <c r="BM547" s="2" t="s">
        <v>3658</v>
      </c>
    </row>
    <row r="548" spans="1:71" ht="108" x14ac:dyDescent="0.45">
      <c r="A548" s="5">
        <v>547</v>
      </c>
      <c r="B548" s="8" t="s">
        <v>364</v>
      </c>
      <c r="C548" s="6" t="s">
        <v>6851</v>
      </c>
      <c r="D548" s="7" t="s">
        <v>9794</v>
      </c>
      <c r="E548" s="1" t="s">
        <v>364</v>
      </c>
      <c r="F548" s="1"/>
      <c r="G548" s="1"/>
      <c r="J548" s="1" t="s">
        <v>9795</v>
      </c>
      <c r="K548" s="2" t="s">
        <v>7877</v>
      </c>
      <c r="L548" s="9" t="s">
        <v>8469</v>
      </c>
      <c r="P548" s="7" t="s">
        <v>1241</v>
      </c>
      <c r="AV548" s="1" t="s">
        <v>1502</v>
      </c>
      <c r="BG548" s="7" t="s">
        <v>1503</v>
      </c>
      <c r="BH548" s="1" t="s">
        <v>2110</v>
      </c>
      <c r="BI548" s="1" t="s">
        <v>3661</v>
      </c>
      <c r="BJ548" s="1" t="s">
        <v>1875</v>
      </c>
      <c r="BK548" s="2" t="s">
        <v>3662</v>
      </c>
    </row>
    <row r="549" spans="1:71" ht="198" x14ac:dyDescent="0.45">
      <c r="A549" s="5">
        <v>548</v>
      </c>
      <c r="B549" s="8" t="s">
        <v>1738</v>
      </c>
      <c r="C549" s="6" t="s">
        <v>6851</v>
      </c>
      <c r="D549" s="7" t="s">
        <v>9794</v>
      </c>
      <c r="E549" s="1" t="s">
        <v>365</v>
      </c>
      <c r="F549" s="1"/>
      <c r="G549" s="1"/>
      <c r="J549" s="1" t="s">
        <v>9795</v>
      </c>
      <c r="K549" s="2"/>
      <c r="L549" s="4" t="s">
        <v>8470</v>
      </c>
      <c r="M549" s="1" t="s">
        <v>12201</v>
      </c>
      <c r="P549" s="7" t="s">
        <v>1241</v>
      </c>
      <c r="Q549" s="14"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549" s="13"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AU549" s="15"/>
      <c r="AV549" s="1" t="s">
        <v>1502</v>
      </c>
      <c r="BG549" s="7" t="s">
        <v>1503</v>
      </c>
      <c r="BH549" s="1" t="s">
        <v>1947</v>
      </c>
      <c r="BI549" s="2" t="s">
        <v>3663</v>
      </c>
      <c r="BJ549" s="1" t="s">
        <v>2026</v>
      </c>
      <c r="BK549" s="2" t="s">
        <v>3664</v>
      </c>
      <c r="BL549" s="1" t="s">
        <v>1959</v>
      </c>
      <c r="BM549" s="1" t="s">
        <v>3665</v>
      </c>
      <c r="BN549" s="1" t="s">
        <v>2114</v>
      </c>
      <c r="BO549" s="1" t="s">
        <v>3666</v>
      </c>
      <c r="BP549" s="1" t="s">
        <v>1875</v>
      </c>
      <c r="BQ549" s="2" t="s">
        <v>3667</v>
      </c>
      <c r="BR549" s="1" t="s">
        <v>1877</v>
      </c>
      <c r="BS549" s="2" t="s">
        <v>3668</v>
      </c>
    </row>
    <row r="550" spans="1:71" ht="180" x14ac:dyDescent="0.45">
      <c r="A550" s="5">
        <v>549</v>
      </c>
      <c r="B550" s="8" t="s">
        <v>366</v>
      </c>
      <c r="C550" s="6" t="s">
        <v>6851</v>
      </c>
      <c r="D550" s="7" t="s">
        <v>9794</v>
      </c>
      <c r="E550" s="1" t="s">
        <v>49</v>
      </c>
      <c r="F550" s="1" t="s">
        <v>1739</v>
      </c>
      <c r="G550" s="1"/>
      <c r="J550" s="1" t="s">
        <v>9795</v>
      </c>
      <c r="K550" s="2" t="s">
        <v>7878</v>
      </c>
      <c r="L550" s="9" t="s">
        <v>8471</v>
      </c>
      <c r="P550" s="7" t="s">
        <v>1241</v>
      </c>
      <c r="AU550" s="15"/>
      <c r="AV550" s="1" t="s">
        <v>1502</v>
      </c>
      <c r="BG550" s="7" t="s">
        <v>1503</v>
      </c>
      <c r="BH550" s="1" t="s">
        <v>1947</v>
      </c>
      <c r="BI550" s="2" t="s">
        <v>3669</v>
      </c>
      <c r="BJ550" s="1" t="s">
        <v>1994</v>
      </c>
      <c r="BK550" s="2" t="s">
        <v>7879</v>
      </c>
      <c r="BL550" s="1" t="s">
        <v>1959</v>
      </c>
      <c r="BM550" s="2" t="s">
        <v>3670</v>
      </c>
      <c r="BN550" s="1" t="s">
        <v>1875</v>
      </c>
      <c r="BO550" s="2" t="s">
        <v>3671</v>
      </c>
      <c r="BP550" s="1" t="s">
        <v>1877</v>
      </c>
      <c r="BQ550" s="2" t="s">
        <v>3672</v>
      </c>
    </row>
    <row r="551" spans="1:71" ht="126" x14ac:dyDescent="0.45">
      <c r="A551" s="5">
        <v>550</v>
      </c>
      <c r="B551" s="8" t="s">
        <v>1740</v>
      </c>
      <c r="C551" s="6" t="s">
        <v>6851</v>
      </c>
      <c r="D551" s="7" t="s">
        <v>9794</v>
      </c>
      <c r="E551" s="1" t="s">
        <v>1454</v>
      </c>
      <c r="F551" s="1" t="s">
        <v>1911</v>
      </c>
      <c r="G551" s="1" t="s">
        <v>1912</v>
      </c>
      <c r="J551" s="1" t="s">
        <v>9795</v>
      </c>
      <c r="K551" s="2" t="s">
        <v>7880</v>
      </c>
      <c r="L551" s="4" t="s">
        <v>8472</v>
      </c>
      <c r="P551" s="7" t="s">
        <v>1241</v>
      </c>
      <c r="Q551" s="13" t="str">
        <f>INDEX($L:$L, MATCH("emerge", $B:$B, 0))</f>
        <v>&lt;span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v>
      </c>
      <c r="AU551" s="15"/>
      <c r="AV551" s="1" t="s">
        <v>1502</v>
      </c>
      <c r="BG551" s="7" t="s">
        <v>1503</v>
      </c>
      <c r="BH551" s="1" t="s">
        <v>1947</v>
      </c>
      <c r="BI551" s="2" t="s">
        <v>3673</v>
      </c>
      <c r="BJ551" s="1" t="s">
        <v>1877</v>
      </c>
      <c r="BK551" s="2" t="s">
        <v>3674</v>
      </c>
    </row>
    <row r="552" spans="1:71" ht="108" x14ac:dyDescent="0.45">
      <c r="A552" s="5">
        <v>551</v>
      </c>
      <c r="B552" s="8" t="s">
        <v>367</v>
      </c>
      <c r="C552" s="6" t="s">
        <v>6851</v>
      </c>
      <c r="D552" s="7" t="s">
        <v>9794</v>
      </c>
      <c r="E552" s="1" t="s">
        <v>1741</v>
      </c>
      <c r="F552" s="1" t="s">
        <v>1742</v>
      </c>
      <c r="G552" s="1"/>
      <c r="J552" s="1" t="s">
        <v>9795</v>
      </c>
      <c r="K552" s="2" t="s">
        <v>7881</v>
      </c>
      <c r="L552" s="9" t="s">
        <v>8473</v>
      </c>
      <c r="M552" s="1" t="s">
        <v>12263</v>
      </c>
      <c r="P552" s="7" t="s">
        <v>1241</v>
      </c>
      <c r="Q552" s="13" t="str">
        <f>INDEX($L:$L, MATCH("demographic", $B:$B, 0))</f>
        <v>&lt;span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v>
      </c>
      <c r="R552" s="13" t="str">
        <f>INDEX($L:$L, MATCH("epidemic", $B:$B, 0))</f>
        <v>&lt;span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v>
      </c>
      <c r="AU552" s="15"/>
      <c r="AV552" s="1" t="s">
        <v>1502</v>
      </c>
      <c r="BG552" s="7" t="s">
        <v>1503</v>
      </c>
      <c r="BH552" s="1" t="s">
        <v>2458</v>
      </c>
      <c r="BI552" s="2" t="s">
        <v>7882</v>
      </c>
      <c r="BJ552" s="1" t="s">
        <v>1967</v>
      </c>
      <c r="BK552" s="2" t="s">
        <v>3675</v>
      </c>
      <c r="BL552" s="1" t="s">
        <v>1959</v>
      </c>
      <c r="BM552" s="2" t="s">
        <v>3676</v>
      </c>
      <c r="BN552" s="1" t="s">
        <v>1877</v>
      </c>
      <c r="BO552" s="2" t="s">
        <v>3677</v>
      </c>
    </row>
    <row r="553" spans="1:71" ht="306" x14ac:dyDescent="0.45">
      <c r="A553" s="5">
        <v>552</v>
      </c>
      <c r="B553" s="8" t="s">
        <v>368</v>
      </c>
      <c r="C553" s="6" t="s">
        <v>6851</v>
      </c>
      <c r="D553" s="7" t="s">
        <v>9794</v>
      </c>
      <c r="E553" s="1" t="s">
        <v>1913</v>
      </c>
      <c r="F553" s="1" t="s">
        <v>1720</v>
      </c>
      <c r="G553" s="1"/>
      <c r="J553" s="1" t="s">
        <v>9795</v>
      </c>
      <c r="K553" s="2" t="s">
        <v>7883</v>
      </c>
      <c r="L553" s="9" t="s">
        <v>8474</v>
      </c>
      <c r="M553" s="1" t="s">
        <v>12264</v>
      </c>
      <c r="P553" s="7" t="s">
        <v>1241</v>
      </c>
      <c r="Q553" s="14"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R553" s="14"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S553" s="13"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T553" s="13"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U553" s="15"/>
      <c r="AV553" s="1" t="s">
        <v>1502</v>
      </c>
      <c r="BG553" s="7" t="s">
        <v>1503</v>
      </c>
      <c r="BH553" s="1" t="s">
        <v>1947</v>
      </c>
      <c r="BI553" s="2" t="s">
        <v>7884</v>
      </c>
      <c r="BJ553" s="1" t="s">
        <v>1959</v>
      </c>
      <c r="BK553" s="2" t="s">
        <v>3678</v>
      </c>
      <c r="BL553" s="1" t="s">
        <v>1875</v>
      </c>
      <c r="BM553" s="2" t="s">
        <v>3679</v>
      </c>
      <c r="BN553" s="1" t="s">
        <v>1877</v>
      </c>
      <c r="BO553" s="2" t="s">
        <v>3680</v>
      </c>
    </row>
    <row r="554" spans="1:71" ht="198" x14ac:dyDescent="0.45">
      <c r="A554" s="5">
        <v>553</v>
      </c>
      <c r="B554" s="8" t="s">
        <v>369</v>
      </c>
      <c r="C554" s="6" t="s">
        <v>6851</v>
      </c>
      <c r="D554" s="7" t="s">
        <v>9794</v>
      </c>
      <c r="E554" s="1" t="s">
        <v>1744</v>
      </c>
      <c r="F554" s="1" t="s">
        <v>1745</v>
      </c>
      <c r="G554" s="1"/>
      <c r="J554" s="1" t="s">
        <v>9795</v>
      </c>
      <c r="K554" s="2" t="s">
        <v>7885</v>
      </c>
      <c r="L554" s="9" t="s">
        <v>12133</v>
      </c>
      <c r="P554" s="7" t="s">
        <v>1241</v>
      </c>
      <c r="AU554" s="15"/>
      <c r="AV554" s="1" t="s">
        <v>1502</v>
      </c>
      <c r="BG554" s="7" t="s">
        <v>1503</v>
      </c>
      <c r="BH554" s="1" t="s">
        <v>2110</v>
      </c>
      <c r="BI554" s="2" t="s">
        <v>7886</v>
      </c>
      <c r="BJ554" s="1" t="s">
        <v>1872</v>
      </c>
      <c r="BK554" s="1" t="s">
        <v>3681</v>
      </c>
      <c r="BL554" s="1" t="s">
        <v>1875</v>
      </c>
      <c r="BM554" s="2" t="s">
        <v>3682</v>
      </c>
    </row>
    <row r="555" spans="1:71" ht="162" x14ac:dyDescent="0.45">
      <c r="A555" s="5">
        <v>554</v>
      </c>
      <c r="B555" s="8" t="s">
        <v>370</v>
      </c>
      <c r="C555" s="6" t="s">
        <v>6851</v>
      </c>
      <c r="D555" s="7" t="s">
        <v>9794</v>
      </c>
      <c r="E555" s="1" t="s">
        <v>1914</v>
      </c>
      <c r="F555" s="1" t="s">
        <v>1818</v>
      </c>
      <c r="G555" s="1"/>
      <c r="J555" s="1" t="s">
        <v>9795</v>
      </c>
      <c r="K555" s="2" t="s">
        <v>7887</v>
      </c>
      <c r="L555" s="3" t="s">
        <v>8475</v>
      </c>
      <c r="P555" s="7" t="s">
        <v>1241</v>
      </c>
      <c r="AU555" s="15"/>
      <c r="AV555" s="1" t="s">
        <v>1502</v>
      </c>
      <c r="BG555" s="7" t="s">
        <v>1503</v>
      </c>
      <c r="BH555" s="1" t="s">
        <v>1947</v>
      </c>
      <c r="BI555" s="2" t="s">
        <v>7888</v>
      </c>
      <c r="BJ555" s="1" t="s">
        <v>1877</v>
      </c>
      <c r="BK555" s="2" t="s">
        <v>3683</v>
      </c>
    </row>
    <row r="556" spans="1:71" ht="180" x14ac:dyDescent="0.45">
      <c r="A556" s="5">
        <v>555</v>
      </c>
      <c r="B556" s="8" t="s">
        <v>371</v>
      </c>
      <c r="C556" s="6" t="s">
        <v>6851</v>
      </c>
      <c r="D556" s="7" t="s">
        <v>9794</v>
      </c>
      <c r="E556" s="1" t="s">
        <v>7889</v>
      </c>
      <c r="F556" s="1" t="s">
        <v>1584</v>
      </c>
      <c r="G556" s="1"/>
      <c r="J556" s="1" t="s">
        <v>9795</v>
      </c>
      <c r="K556" s="2" t="s">
        <v>7890</v>
      </c>
      <c r="L556" s="9" t="s">
        <v>12134</v>
      </c>
      <c r="P556" s="7" t="s">
        <v>1241</v>
      </c>
      <c r="Q556" s="13" t="str">
        <f>INDEX($L:$L, MATCH("incorporate", $B:$B, 0))</f>
        <v>&lt;span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v>
      </c>
      <c r="AU556" s="15"/>
      <c r="AV556" s="1" t="s">
        <v>1502</v>
      </c>
      <c r="BG556" s="7" t="s">
        <v>1503</v>
      </c>
      <c r="BH556" s="1" t="s">
        <v>1947</v>
      </c>
      <c r="BI556" s="2" t="s">
        <v>3684</v>
      </c>
      <c r="BJ556" s="1" t="s">
        <v>2036</v>
      </c>
      <c r="BK556" s="2" t="s">
        <v>3685</v>
      </c>
      <c r="BL556" s="1" t="s">
        <v>1875</v>
      </c>
      <c r="BM556" s="2" t="s">
        <v>3686</v>
      </c>
      <c r="BN556" s="1" t="s">
        <v>1877</v>
      </c>
      <c r="BO556" s="2" t="s">
        <v>3687</v>
      </c>
    </row>
    <row r="557" spans="1:71" ht="288" x14ac:dyDescent="0.45">
      <c r="A557" s="5">
        <v>556</v>
      </c>
      <c r="B557" s="8" t="s">
        <v>372</v>
      </c>
      <c r="C557" s="6" t="s">
        <v>6851</v>
      </c>
      <c r="D557" s="7" t="s">
        <v>9794</v>
      </c>
      <c r="E557" s="1" t="s">
        <v>1746</v>
      </c>
      <c r="F557" s="1" t="s">
        <v>1747</v>
      </c>
      <c r="G557" s="1"/>
      <c r="J557" s="1" t="s">
        <v>9795</v>
      </c>
      <c r="K557" s="2" t="s">
        <v>7891</v>
      </c>
      <c r="L557" s="3" t="s">
        <v>12151</v>
      </c>
      <c r="P557" s="7" t="s">
        <v>1241</v>
      </c>
      <c r="AV557" s="1" t="s">
        <v>1502</v>
      </c>
      <c r="BG557" s="7" t="s">
        <v>1503</v>
      </c>
      <c r="BH557" s="1" t="s">
        <v>2458</v>
      </c>
      <c r="BI557" s="1" t="s">
        <v>3688</v>
      </c>
      <c r="BJ557" s="1" t="s">
        <v>1996</v>
      </c>
      <c r="BK557" s="2" t="s">
        <v>3689</v>
      </c>
      <c r="BL557" s="1" t="s">
        <v>1877</v>
      </c>
      <c r="BM557" s="2" t="s">
        <v>3690</v>
      </c>
      <c r="BN557" s="1" t="s">
        <v>3497</v>
      </c>
      <c r="BO557" s="2" t="s">
        <v>3691</v>
      </c>
    </row>
    <row r="558" spans="1:71" ht="144" x14ac:dyDescent="0.45">
      <c r="A558" s="5">
        <v>557</v>
      </c>
      <c r="B558" s="8" t="s">
        <v>373</v>
      </c>
      <c r="C558" s="6" t="s">
        <v>6851</v>
      </c>
      <c r="D558" s="7" t="s">
        <v>9794</v>
      </c>
      <c r="E558" s="1" t="s">
        <v>373</v>
      </c>
      <c r="F558" s="1"/>
      <c r="G558" s="1"/>
      <c r="J558" s="1" t="s">
        <v>9795</v>
      </c>
      <c r="K558" s="2" t="s">
        <v>7892</v>
      </c>
      <c r="L558" s="4" t="s">
        <v>8476</v>
      </c>
      <c r="P558" s="7" t="s">
        <v>1241</v>
      </c>
      <c r="Q558" s="14" t="str">
        <f>INDEX($L:$L, MATCH("routine", $B:$B, 0))</f>
        <v>&lt;span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v>
      </c>
      <c r="R558" s="15"/>
      <c r="S558" s="15"/>
      <c r="T558" s="15"/>
      <c r="U558" s="15"/>
      <c r="AU558" s="15"/>
      <c r="AV558" s="1" t="s">
        <v>1502</v>
      </c>
      <c r="BG558" s="7" t="s">
        <v>1503</v>
      </c>
      <c r="BH558" s="1" t="s">
        <v>1947</v>
      </c>
      <c r="BI558" s="2" t="s">
        <v>3692</v>
      </c>
      <c r="BJ558" s="1" t="s">
        <v>1959</v>
      </c>
      <c r="BK558" s="1" t="s">
        <v>3693</v>
      </c>
      <c r="BL558" s="1" t="s">
        <v>1875</v>
      </c>
      <c r="BM558" s="2" t="s">
        <v>3694</v>
      </c>
      <c r="BN558" s="1" t="s">
        <v>1877</v>
      </c>
      <c r="BO558" s="2" t="s">
        <v>3695</v>
      </c>
    </row>
    <row r="559" spans="1:71" ht="126" x14ac:dyDescent="0.45">
      <c r="A559" s="5">
        <v>558</v>
      </c>
      <c r="B559" s="8" t="s">
        <v>374</v>
      </c>
      <c r="C559" s="6" t="s">
        <v>6851</v>
      </c>
      <c r="D559" s="7" t="s">
        <v>9794</v>
      </c>
      <c r="E559" s="1" t="s">
        <v>1505</v>
      </c>
      <c r="F559" s="1" t="s">
        <v>1749</v>
      </c>
      <c r="G559" s="1"/>
      <c r="J559" s="1" t="s">
        <v>9795</v>
      </c>
      <c r="K559" s="2" t="s">
        <v>7893</v>
      </c>
      <c r="L559" s="4" t="s">
        <v>8477</v>
      </c>
      <c r="M559" s="1" t="s">
        <v>12243</v>
      </c>
      <c r="P559" s="7" t="s">
        <v>1241</v>
      </c>
      <c r="Q559" s="14"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R559" s="13"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S559" s="13"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AU559" s="15"/>
      <c r="AV559" s="1" t="s">
        <v>1502</v>
      </c>
      <c r="BG559" s="7" t="s">
        <v>1503</v>
      </c>
      <c r="BH559" s="1" t="s">
        <v>1947</v>
      </c>
      <c r="BI559" s="2" t="s">
        <v>3696</v>
      </c>
      <c r="BJ559" s="1" t="s">
        <v>1967</v>
      </c>
      <c r="BK559" s="2" t="s">
        <v>3697</v>
      </c>
      <c r="BL559" s="1" t="s">
        <v>1959</v>
      </c>
      <c r="BM559" s="1" t="s">
        <v>3698</v>
      </c>
      <c r="BN559" s="1" t="s">
        <v>1875</v>
      </c>
      <c r="BO559" s="2" t="s">
        <v>3699</v>
      </c>
      <c r="BP559" s="1" t="s">
        <v>1877</v>
      </c>
      <c r="BQ559" s="2" t="s">
        <v>3700</v>
      </c>
    </row>
    <row r="560" spans="1:71" ht="216" x14ac:dyDescent="0.45">
      <c r="A560" s="5">
        <v>559</v>
      </c>
      <c r="B560" s="8" t="s">
        <v>1750</v>
      </c>
      <c r="C560" s="6" t="s">
        <v>6851</v>
      </c>
      <c r="D560" s="7" t="s">
        <v>9794</v>
      </c>
      <c r="E560" s="1" t="s">
        <v>1327</v>
      </c>
      <c r="F560" s="1" t="s">
        <v>1751</v>
      </c>
      <c r="G560" s="1" t="s">
        <v>1584</v>
      </c>
      <c r="J560" s="1" t="s">
        <v>9795</v>
      </c>
      <c r="K560" s="2" t="s">
        <v>7894</v>
      </c>
      <c r="L560" s="4" t="s">
        <v>8478</v>
      </c>
      <c r="M560" s="1" t="s">
        <v>12205</v>
      </c>
      <c r="P560" s="7" t="s">
        <v>1241</v>
      </c>
      <c r="Q560" s="14"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R560" s="14"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S560" s="14"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T560" s="15"/>
      <c r="U560" s="15"/>
      <c r="V560" s="15"/>
      <c r="AU560" s="15"/>
      <c r="AV560" s="1" t="s">
        <v>1502</v>
      </c>
      <c r="BG560" s="7" t="s">
        <v>1503</v>
      </c>
      <c r="BH560" s="1" t="s">
        <v>1947</v>
      </c>
      <c r="BI560" s="2" t="s">
        <v>3701</v>
      </c>
      <c r="BJ560" s="1" t="s">
        <v>1967</v>
      </c>
      <c r="BK560" s="2" t="s">
        <v>3702</v>
      </c>
      <c r="BL560" s="1" t="s">
        <v>1959</v>
      </c>
      <c r="BM560" s="2" t="s">
        <v>3703</v>
      </c>
      <c r="BN560" s="1" t="s">
        <v>1875</v>
      </c>
      <c r="BO560" s="2" t="s">
        <v>3704</v>
      </c>
      <c r="BP560" s="1" t="s">
        <v>1877</v>
      </c>
      <c r="BQ560" s="2" t="s">
        <v>3705</v>
      </c>
    </row>
    <row r="561" spans="1:69" ht="72" x14ac:dyDescent="0.45">
      <c r="A561" s="5">
        <v>560</v>
      </c>
      <c r="B561" s="8" t="s">
        <v>375</v>
      </c>
      <c r="C561" s="6" t="s">
        <v>6851</v>
      </c>
      <c r="D561" s="7" t="s">
        <v>9794</v>
      </c>
      <c r="E561" s="1" t="s">
        <v>375</v>
      </c>
      <c r="F561" s="1"/>
      <c r="G561" s="1"/>
      <c r="J561" s="1" t="s">
        <v>9795</v>
      </c>
      <c r="K561" s="2"/>
      <c r="L561" s="9" t="s">
        <v>8479</v>
      </c>
      <c r="P561" s="7" t="s">
        <v>1241</v>
      </c>
      <c r="AV561" s="1" t="s">
        <v>1502</v>
      </c>
      <c r="BG561" s="7" t="s">
        <v>1503</v>
      </c>
      <c r="BH561" s="1" t="s">
        <v>1872</v>
      </c>
      <c r="BI561" s="1" t="s">
        <v>3706</v>
      </c>
      <c r="BJ561" s="1" t="s">
        <v>1875</v>
      </c>
      <c r="BK561" s="2" t="s">
        <v>3707</v>
      </c>
    </row>
    <row r="562" spans="1:69" ht="270" x14ac:dyDescent="0.45">
      <c r="A562" s="5">
        <v>561</v>
      </c>
      <c r="B562" s="8" t="s">
        <v>5081</v>
      </c>
      <c r="C562" s="6" t="s">
        <v>6851</v>
      </c>
      <c r="D562" s="7" t="s">
        <v>9794</v>
      </c>
      <c r="E562" s="1" t="s">
        <v>29</v>
      </c>
      <c r="F562" s="1" t="s">
        <v>9003</v>
      </c>
      <c r="G562" s="1" t="s">
        <v>1584</v>
      </c>
      <c r="J562" s="1" t="s">
        <v>9795</v>
      </c>
      <c r="K562" s="2" t="s">
        <v>7895</v>
      </c>
      <c r="L562" s="3" t="s">
        <v>8480</v>
      </c>
      <c r="P562" s="7" t="s">
        <v>1241</v>
      </c>
      <c r="Q562" s="13" t="str">
        <f>INDEX($L:$L, MATCH("migrate", $B:$B, 0))</f>
        <v>&lt;span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v>
      </c>
      <c r="AU562" s="15"/>
      <c r="AV562" s="1" t="s">
        <v>1502</v>
      </c>
      <c r="BG562" s="7" t="s">
        <v>1503</v>
      </c>
      <c r="BH562" s="1" t="s">
        <v>1947</v>
      </c>
      <c r="BI562" s="2" t="s">
        <v>3708</v>
      </c>
      <c r="BJ562" s="1" t="s">
        <v>1877</v>
      </c>
      <c r="BK562" s="2" t="s">
        <v>3709</v>
      </c>
      <c r="BL562" s="1" t="s">
        <v>3497</v>
      </c>
      <c r="BM562" s="2" t="s">
        <v>3710</v>
      </c>
    </row>
    <row r="563" spans="1:69" ht="90" x14ac:dyDescent="0.45">
      <c r="A563" s="5">
        <v>562</v>
      </c>
      <c r="B563" s="8" t="s">
        <v>376</v>
      </c>
      <c r="C563" s="6" t="s">
        <v>6851</v>
      </c>
      <c r="D563" s="7" t="s">
        <v>9794</v>
      </c>
      <c r="E563" s="6" t="s">
        <v>1752</v>
      </c>
      <c r="F563" s="1" t="s">
        <v>1753</v>
      </c>
      <c r="G563" s="1"/>
      <c r="J563" s="1" t="s">
        <v>9795</v>
      </c>
      <c r="K563" s="2" t="s">
        <v>7896</v>
      </c>
      <c r="L563" s="4" t="s">
        <v>8481</v>
      </c>
      <c r="P563" s="7" t="s">
        <v>1241</v>
      </c>
      <c r="Q563" s="13" t="str">
        <f>INDEX($L:$L, MATCH("embarrass", $B:$B, 0))</f>
        <v>&lt;span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v>
      </c>
      <c r="AU563" s="15"/>
      <c r="AV563" s="1" t="s">
        <v>1502</v>
      </c>
      <c r="BG563" s="7" t="s">
        <v>1503</v>
      </c>
      <c r="BH563" s="1" t="s">
        <v>1959</v>
      </c>
      <c r="BI563" s="2" t="s">
        <v>7897</v>
      </c>
      <c r="BJ563" s="1" t="s">
        <v>2114</v>
      </c>
      <c r="BK563" s="2" t="s">
        <v>3711</v>
      </c>
      <c r="BL563" s="1" t="s">
        <v>1875</v>
      </c>
      <c r="BM563" s="2" t="s">
        <v>3712</v>
      </c>
    </row>
    <row r="564" spans="1:69" ht="108" x14ac:dyDescent="0.45">
      <c r="A564" s="5">
        <v>563</v>
      </c>
      <c r="B564" s="8" t="s">
        <v>1754</v>
      </c>
      <c r="C564" s="6" t="s">
        <v>6851</v>
      </c>
      <c r="D564" s="7" t="s">
        <v>9794</v>
      </c>
      <c r="E564" s="1" t="s">
        <v>1505</v>
      </c>
      <c r="F564" s="1" t="s">
        <v>1353</v>
      </c>
      <c r="G564" s="1" t="s">
        <v>1931</v>
      </c>
      <c r="H564" s="1" t="s">
        <v>1748</v>
      </c>
      <c r="J564" s="1" t="s">
        <v>9795</v>
      </c>
      <c r="K564" s="2" t="s">
        <v>7898</v>
      </c>
      <c r="L564" s="4" t="s">
        <v>8482</v>
      </c>
      <c r="M564" s="1" t="s">
        <v>12202</v>
      </c>
      <c r="P564" s="7" t="s">
        <v>1241</v>
      </c>
      <c r="Q564" s="13"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564"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S564" s="13"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T564" s="13"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AU564" s="15"/>
      <c r="AV564" s="1" t="s">
        <v>1502</v>
      </c>
      <c r="BG564" s="7" t="s">
        <v>1503</v>
      </c>
      <c r="BH564" s="1" t="s">
        <v>2034</v>
      </c>
      <c r="BI564" s="2" t="s">
        <v>3713</v>
      </c>
      <c r="BJ564" s="1" t="s">
        <v>3659</v>
      </c>
      <c r="BK564" s="1" t="s">
        <v>2469</v>
      </c>
      <c r="BL564" s="1" t="s">
        <v>1504</v>
      </c>
      <c r="BM564" s="2" t="s">
        <v>3714</v>
      </c>
      <c r="BN564" s="1" t="s">
        <v>2044</v>
      </c>
      <c r="BO564" s="2" t="s">
        <v>3715</v>
      </c>
      <c r="BP564" s="1" t="s">
        <v>1865</v>
      </c>
      <c r="BQ564" s="2" t="s">
        <v>3716</v>
      </c>
    </row>
    <row r="565" spans="1:69" ht="144" x14ac:dyDescent="0.45">
      <c r="A565" s="5">
        <v>564</v>
      </c>
      <c r="B565" s="8" t="s">
        <v>377</v>
      </c>
      <c r="C565" s="6" t="s">
        <v>6851</v>
      </c>
      <c r="D565" s="7" t="s">
        <v>9794</v>
      </c>
      <c r="E565" s="1" t="s">
        <v>377</v>
      </c>
      <c r="F565" s="1"/>
      <c r="G565" s="1"/>
      <c r="J565" s="1" t="s">
        <v>9795</v>
      </c>
      <c r="K565" s="2" t="s">
        <v>7899</v>
      </c>
      <c r="L565" s="9" t="s">
        <v>8483</v>
      </c>
      <c r="P565" s="7" t="s">
        <v>1241</v>
      </c>
      <c r="AV565" s="1" t="s">
        <v>1502</v>
      </c>
      <c r="BG565" s="7" t="s">
        <v>1503</v>
      </c>
      <c r="BH565" s="1" t="s">
        <v>1872</v>
      </c>
      <c r="BI565" s="1" t="s">
        <v>3717</v>
      </c>
      <c r="BJ565" s="1" t="s">
        <v>1875</v>
      </c>
      <c r="BK565" s="2" t="s">
        <v>3718</v>
      </c>
    </row>
    <row r="566" spans="1:69" ht="252" x14ac:dyDescent="0.45">
      <c r="A566" s="5">
        <v>565</v>
      </c>
      <c r="B566" s="8" t="s">
        <v>1351</v>
      </c>
      <c r="C566" s="6" t="s">
        <v>6851</v>
      </c>
      <c r="D566" s="7" t="s">
        <v>9794</v>
      </c>
      <c r="E566" s="1" t="s">
        <v>8931</v>
      </c>
      <c r="F566" s="1" t="s">
        <v>1580</v>
      </c>
      <c r="G566" s="1"/>
      <c r="J566" s="1" t="s">
        <v>9795</v>
      </c>
      <c r="K566" s="1" t="s">
        <v>1756</v>
      </c>
      <c r="L566" s="4" t="s">
        <v>8484</v>
      </c>
      <c r="M566" s="1" t="s">
        <v>12220</v>
      </c>
      <c r="P566" s="7" t="s">
        <v>1241</v>
      </c>
      <c r="Q566" s="14"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566" s="14"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S566" s="14"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T566" s="14"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U566" s="14"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V566" s="14"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566" s="13"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566" s="15"/>
      <c r="AV566" s="1" t="s">
        <v>1502</v>
      </c>
      <c r="BG566" s="7" t="s">
        <v>1503</v>
      </c>
      <c r="BH566" s="1" t="s">
        <v>2034</v>
      </c>
      <c r="BI566" s="2" t="s">
        <v>3719</v>
      </c>
      <c r="BJ566" s="1" t="s">
        <v>1959</v>
      </c>
      <c r="BK566" s="1" t="s">
        <v>3720</v>
      </c>
      <c r="BL566" s="1" t="s">
        <v>1875</v>
      </c>
      <c r="BM566" s="2" t="s">
        <v>3721</v>
      </c>
    </row>
    <row r="567" spans="1:69" ht="126" x14ac:dyDescent="0.45">
      <c r="A567" s="5">
        <v>566</v>
      </c>
      <c r="B567" s="8" t="s">
        <v>1757</v>
      </c>
      <c r="C567" s="6" t="s">
        <v>6851</v>
      </c>
      <c r="D567" s="7" t="s">
        <v>9794</v>
      </c>
      <c r="E567" s="1" t="s">
        <v>9004</v>
      </c>
      <c r="F567" s="1" t="s">
        <v>1758</v>
      </c>
      <c r="G567" s="1"/>
      <c r="J567" s="1" t="s">
        <v>9795</v>
      </c>
      <c r="K567" s="1" t="s">
        <v>7900</v>
      </c>
      <c r="L567" s="4" t="s">
        <v>8485</v>
      </c>
      <c r="P567" s="7" t="s">
        <v>1241</v>
      </c>
      <c r="Q567" s="14" t="str">
        <f>INDEX($L:$L, MATCH("route", $B:$B, 0))</f>
        <v>&lt;span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v>
      </c>
      <c r="R567" s="15"/>
      <c r="S567" s="15"/>
      <c r="T567" s="15"/>
      <c r="U567" s="15"/>
      <c r="AU567" s="15"/>
      <c r="AV567" s="1" t="s">
        <v>1502</v>
      </c>
      <c r="BG567" s="7" t="s">
        <v>1503</v>
      </c>
      <c r="BH567" s="1" t="s">
        <v>1947</v>
      </c>
      <c r="BI567" s="2" t="s">
        <v>3692</v>
      </c>
      <c r="BJ567" s="1" t="s">
        <v>1959</v>
      </c>
      <c r="BK567" s="2" t="s">
        <v>3693</v>
      </c>
      <c r="BL567" s="1" t="s">
        <v>1996</v>
      </c>
      <c r="BM567" s="2" t="s">
        <v>3722</v>
      </c>
      <c r="BN567" s="1" t="s">
        <v>1877</v>
      </c>
      <c r="BO567" s="2" t="s">
        <v>3723</v>
      </c>
    </row>
    <row r="568" spans="1:69" ht="144" x14ac:dyDescent="0.45">
      <c r="A568" s="5">
        <v>567</v>
      </c>
      <c r="B568" s="8" t="s">
        <v>1759</v>
      </c>
      <c r="C568" s="6" t="s">
        <v>6851</v>
      </c>
      <c r="D568" s="7" t="s">
        <v>9794</v>
      </c>
      <c r="E568" s="1" t="s">
        <v>1915</v>
      </c>
      <c r="F568" s="1" t="s">
        <v>1758</v>
      </c>
      <c r="G568" s="1"/>
      <c r="J568" s="1" t="s">
        <v>9795</v>
      </c>
      <c r="K568" s="2" t="s">
        <v>7901</v>
      </c>
      <c r="L568" s="2" t="s">
        <v>8486</v>
      </c>
      <c r="P568" s="7" t="s">
        <v>1241</v>
      </c>
      <c r="AU568" s="15"/>
      <c r="AV568" s="1" t="s">
        <v>1502</v>
      </c>
      <c r="BG568" s="7" t="s">
        <v>1503</v>
      </c>
      <c r="BH568" s="1" t="s">
        <v>1947</v>
      </c>
      <c r="BI568" s="2" t="s">
        <v>3724</v>
      </c>
      <c r="BJ568" s="1" t="s">
        <v>1959</v>
      </c>
      <c r="BK568" s="2" t="s">
        <v>3725</v>
      </c>
      <c r="BL568" s="1" t="s">
        <v>1875</v>
      </c>
      <c r="BM568" s="2" t="s">
        <v>3726</v>
      </c>
    </row>
    <row r="569" spans="1:69" ht="108" x14ac:dyDescent="0.45">
      <c r="A569" s="5">
        <v>568</v>
      </c>
      <c r="B569" s="8" t="s">
        <v>378</v>
      </c>
      <c r="C569" s="6" t="s">
        <v>6851</v>
      </c>
      <c r="D569" s="7" t="s">
        <v>9794</v>
      </c>
      <c r="E569" s="6" t="s">
        <v>378</v>
      </c>
      <c r="F569" s="1"/>
      <c r="G569" s="1"/>
      <c r="J569" s="1" t="s">
        <v>9795</v>
      </c>
      <c r="K569" s="2" t="s">
        <v>7902</v>
      </c>
      <c r="L569" s="9" t="s">
        <v>8487</v>
      </c>
      <c r="P569" s="7" t="s">
        <v>1241</v>
      </c>
      <c r="AV569" s="1" t="s">
        <v>1502</v>
      </c>
      <c r="BG569" s="7" t="s">
        <v>1503</v>
      </c>
      <c r="BH569" s="1" t="s">
        <v>2458</v>
      </c>
      <c r="BI569" s="1" t="s">
        <v>7903</v>
      </c>
      <c r="BJ569" s="1" t="s">
        <v>3408</v>
      </c>
      <c r="BK569" s="1" t="s">
        <v>3727</v>
      </c>
      <c r="BL569" s="1" t="s">
        <v>1996</v>
      </c>
      <c r="BM569" s="1" t="s">
        <v>3728</v>
      </c>
      <c r="BN569" s="1" t="s">
        <v>1877</v>
      </c>
      <c r="BO569" s="2" t="s">
        <v>3729</v>
      </c>
    </row>
    <row r="570" spans="1:69" ht="180" x14ac:dyDescent="0.45">
      <c r="A570" s="5">
        <v>569</v>
      </c>
      <c r="B570" s="8" t="s">
        <v>379</v>
      </c>
      <c r="C570" s="6" t="s">
        <v>6851</v>
      </c>
      <c r="D570" s="7" t="s">
        <v>9794</v>
      </c>
      <c r="E570" s="1" t="s">
        <v>1760</v>
      </c>
      <c r="F570" s="1" t="s">
        <v>1555</v>
      </c>
      <c r="G570" s="1" t="s">
        <v>1916</v>
      </c>
      <c r="J570" s="1" t="s">
        <v>9795</v>
      </c>
      <c r="K570" s="2" t="s">
        <v>7904</v>
      </c>
      <c r="L570" s="3" t="s">
        <v>8704</v>
      </c>
      <c r="P570" s="7" t="s">
        <v>1241</v>
      </c>
      <c r="AU570" s="15"/>
      <c r="AV570" s="1" t="s">
        <v>1502</v>
      </c>
      <c r="BG570" s="7" t="s">
        <v>1503</v>
      </c>
      <c r="BH570" s="1" t="s">
        <v>2458</v>
      </c>
      <c r="BI570" s="2" t="s">
        <v>3730</v>
      </c>
      <c r="BJ570" s="1" t="s">
        <v>2036</v>
      </c>
      <c r="BK570" s="1" t="s">
        <v>379</v>
      </c>
      <c r="BL570" s="1" t="s">
        <v>1996</v>
      </c>
      <c r="BM570" s="1" t="s">
        <v>3731</v>
      </c>
      <c r="BN570" s="1" t="s">
        <v>1877</v>
      </c>
      <c r="BO570" s="2" t="s">
        <v>3732</v>
      </c>
    </row>
    <row r="571" spans="1:69" ht="198" x14ac:dyDescent="0.45">
      <c r="A571" s="5">
        <v>570</v>
      </c>
      <c r="B571" s="8" t="s">
        <v>1761</v>
      </c>
      <c r="C571" s="6" t="s">
        <v>6851</v>
      </c>
      <c r="D571" s="7" t="s">
        <v>9794</v>
      </c>
      <c r="E571" s="1" t="s">
        <v>8915</v>
      </c>
      <c r="F571" s="1" t="s">
        <v>1762</v>
      </c>
      <c r="G571" s="1"/>
      <c r="J571" s="1" t="s">
        <v>9795</v>
      </c>
      <c r="K571" s="2" t="s">
        <v>7905</v>
      </c>
      <c r="L571" s="4" t="s">
        <v>8488</v>
      </c>
      <c r="P571" s="7" t="s">
        <v>1241</v>
      </c>
      <c r="Q571" s="14" t="str">
        <f>INDEX($L:$L, MATCH("surgery", $B:$B, 0))</f>
        <v>&lt;span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v>
      </c>
      <c r="R571" s="13" t="str">
        <f>INDEX($L:$L, MATCH("allergy", $B:$B, 0))</f>
        <v>&lt;span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v>
      </c>
      <c r="AU571" s="15"/>
      <c r="AV571" s="1" t="s">
        <v>1502</v>
      </c>
      <c r="BG571" s="7" t="s">
        <v>1503</v>
      </c>
      <c r="BH571" s="1" t="s">
        <v>2458</v>
      </c>
      <c r="BI571" s="2" t="s">
        <v>3733</v>
      </c>
      <c r="BJ571" s="1" t="s">
        <v>1947</v>
      </c>
      <c r="BK571" s="2" t="s">
        <v>3734</v>
      </c>
      <c r="BL571" s="1" t="s">
        <v>1959</v>
      </c>
      <c r="BM571" s="2" t="s">
        <v>3735</v>
      </c>
      <c r="BN571" s="1" t="s">
        <v>1875</v>
      </c>
      <c r="BO571" s="2" t="s">
        <v>3736</v>
      </c>
    </row>
    <row r="572" spans="1:69" ht="252" x14ac:dyDescent="0.45">
      <c r="A572" s="5">
        <v>571</v>
      </c>
      <c r="B572" s="8" t="s">
        <v>1763</v>
      </c>
      <c r="C572" s="6" t="s">
        <v>6851</v>
      </c>
      <c r="D572" s="7" t="s">
        <v>9794</v>
      </c>
      <c r="E572" s="1" t="s">
        <v>1917</v>
      </c>
      <c r="F572" s="1" t="s">
        <v>1698</v>
      </c>
      <c r="G572" s="1"/>
      <c r="J572" s="1" t="s">
        <v>9795</v>
      </c>
      <c r="K572" s="2" t="s">
        <v>7909</v>
      </c>
      <c r="L572" s="4" t="s">
        <v>8489</v>
      </c>
      <c r="M572" s="1" t="s">
        <v>12213</v>
      </c>
      <c r="P572" s="7" t="s">
        <v>1241</v>
      </c>
      <c r="Q572" s="14" t="str">
        <f>INDEX($L:$L, MATCH("decline", $B:$B, 0))</f>
        <v>&lt;span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v>
      </c>
      <c r="R572" s="14" t="str">
        <f>INDEX($L:$L, MATCH("inclined", $B:$B, 0))</f>
        <v>&lt;span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v>
      </c>
      <c r="S572" s="15"/>
      <c r="T572" s="15"/>
      <c r="AU572" s="15"/>
      <c r="AV572" s="1" t="s">
        <v>1502</v>
      </c>
      <c r="BG572" s="7" t="s">
        <v>1503</v>
      </c>
      <c r="BH572" s="1" t="s">
        <v>1947</v>
      </c>
      <c r="BI572" s="2" t="s">
        <v>7910</v>
      </c>
      <c r="BJ572" s="1" t="s">
        <v>2114</v>
      </c>
      <c r="BK572" s="2" t="s">
        <v>3737</v>
      </c>
      <c r="BL572" s="1" t="s">
        <v>1875</v>
      </c>
      <c r="BM572" s="2" t="s">
        <v>3738</v>
      </c>
      <c r="BN572" s="1" t="s">
        <v>1877</v>
      </c>
      <c r="BO572" s="2" t="s">
        <v>3739</v>
      </c>
    </row>
    <row r="573" spans="1:69" ht="234" x14ac:dyDescent="0.45">
      <c r="A573" s="5">
        <v>572</v>
      </c>
      <c r="B573" s="8" t="s">
        <v>1776</v>
      </c>
      <c r="C573" s="6" t="s">
        <v>6851</v>
      </c>
      <c r="D573" s="7" t="s">
        <v>9794</v>
      </c>
      <c r="E573" s="1" t="s">
        <v>1428</v>
      </c>
      <c r="F573" s="1" t="s">
        <v>6428</v>
      </c>
      <c r="G573" s="1" t="s">
        <v>1946</v>
      </c>
      <c r="J573" s="1" t="s">
        <v>9795</v>
      </c>
      <c r="K573" s="2"/>
      <c r="L573" s="3" t="s">
        <v>8490</v>
      </c>
      <c r="M573" s="1" t="s">
        <v>12196</v>
      </c>
      <c r="P573" s="7" t="s">
        <v>1241</v>
      </c>
      <c r="Q573" s="14" t="str">
        <f>INDEX($L:$L, MATCH("culture", $B:$B, 0))</f>
        <v>&lt;span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v>
      </c>
      <c r="R573" s="14" t="str">
        <f>INDEX($L:$L, MATCH("agriculture", $B:$B, 0))</f>
        <v>&lt;span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v>
      </c>
      <c r="S573" s="13" t="str">
        <f>INDEX($L:$L, MATCH("cultivate", $B:$B, 0))</f>
        <v>&lt;span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v>
      </c>
      <c r="AU573" s="15"/>
      <c r="AV573" s="1" t="s">
        <v>1502</v>
      </c>
      <c r="BG573" s="7" t="s">
        <v>1503</v>
      </c>
      <c r="BH573" s="1" t="s">
        <v>1947</v>
      </c>
      <c r="BI573" s="2" t="s">
        <v>3740</v>
      </c>
      <c r="BJ573" s="1" t="s">
        <v>1875</v>
      </c>
      <c r="BK573" s="2" t="s">
        <v>3741</v>
      </c>
      <c r="BL573" s="1" t="s">
        <v>1877</v>
      </c>
      <c r="BM573" s="2" t="s">
        <v>3742</v>
      </c>
    </row>
    <row r="574" spans="1:69" ht="180" x14ac:dyDescent="0.45">
      <c r="A574" s="5">
        <v>573</v>
      </c>
      <c r="B574" s="8" t="s">
        <v>1764</v>
      </c>
      <c r="C574" s="6" t="s">
        <v>6851</v>
      </c>
      <c r="D574" s="7" t="s">
        <v>9794</v>
      </c>
      <c r="E574" s="1" t="s">
        <v>9005</v>
      </c>
      <c r="F574" s="1" t="s">
        <v>1687</v>
      </c>
      <c r="G574" s="1" t="s">
        <v>1765</v>
      </c>
      <c r="J574" s="1" t="s">
        <v>9795</v>
      </c>
      <c r="K574" s="2" t="s">
        <v>7911</v>
      </c>
      <c r="L574" s="4" t="s">
        <v>8491</v>
      </c>
      <c r="P574" s="7" t="s">
        <v>1241</v>
      </c>
      <c r="Q574" s="16"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R574" s="16"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S574" s="16"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T574" s="16"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U574" s="19" t="str">
        <f>INDEX($L:$L, MATCH("topic", $B:$B, 0))</f>
        <v>&lt;span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v>
      </c>
      <c r="V574" s="18"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W574" s="18"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X574" s="18"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Y574" s="18"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Z574" s="18"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A574" s="18"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B574" s="18"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C574" s="18"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D574" s="18"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E574" s="18"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F574" s="18"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G574" s="18"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574" s="15"/>
      <c r="AV574" s="1" t="s">
        <v>1502</v>
      </c>
      <c r="BG574" s="7" t="s">
        <v>1503</v>
      </c>
      <c r="BH574" s="1" t="s">
        <v>1947</v>
      </c>
      <c r="BI574" s="2" t="s">
        <v>7912</v>
      </c>
      <c r="BJ574" s="1" t="s">
        <v>1994</v>
      </c>
      <c r="BK574" s="1" t="s">
        <v>3743</v>
      </c>
      <c r="BL574" s="1" t="s">
        <v>3408</v>
      </c>
      <c r="BM574" s="1" t="s">
        <v>3744</v>
      </c>
      <c r="BN574" s="1" t="s">
        <v>3461</v>
      </c>
      <c r="BO574" s="2" t="s">
        <v>7913</v>
      </c>
      <c r="BP574" s="1" t="s">
        <v>1877</v>
      </c>
      <c r="BQ574" s="2" t="s">
        <v>3745</v>
      </c>
    </row>
    <row r="575" spans="1:69" ht="126" x14ac:dyDescent="0.45">
      <c r="A575" s="5">
        <v>574</v>
      </c>
      <c r="B575" s="8" t="s">
        <v>380</v>
      </c>
      <c r="C575" s="6" t="s">
        <v>6851</v>
      </c>
      <c r="D575" s="7" t="s">
        <v>9794</v>
      </c>
      <c r="E575" s="6" t="s">
        <v>380</v>
      </c>
      <c r="F575" s="1"/>
      <c r="G575" s="1"/>
      <c r="J575" s="1" t="s">
        <v>9795</v>
      </c>
      <c r="K575" s="3" t="s">
        <v>7946</v>
      </c>
      <c r="L575" s="2" t="s">
        <v>8492</v>
      </c>
      <c r="P575" s="7" t="s">
        <v>1241</v>
      </c>
      <c r="AU575" s="15"/>
      <c r="AV575" s="1" t="s">
        <v>1502</v>
      </c>
      <c r="BG575" s="7" t="s">
        <v>1503</v>
      </c>
      <c r="BH575" s="1" t="s">
        <v>1947</v>
      </c>
      <c r="BI575" s="2" t="s">
        <v>3746</v>
      </c>
      <c r="BJ575" s="1" t="s">
        <v>1959</v>
      </c>
      <c r="BK575" s="2" t="s">
        <v>3747</v>
      </c>
      <c r="BL575" s="1" t="s">
        <v>1875</v>
      </c>
      <c r="BM575" s="2" t="s">
        <v>3748</v>
      </c>
    </row>
    <row r="576" spans="1:69" ht="144" x14ac:dyDescent="0.45">
      <c r="A576" s="5">
        <v>575</v>
      </c>
      <c r="B576" s="8" t="s">
        <v>1766</v>
      </c>
      <c r="C576" s="6" t="s">
        <v>6851</v>
      </c>
      <c r="D576" s="7" t="s">
        <v>9794</v>
      </c>
      <c r="E576" s="1" t="s">
        <v>27</v>
      </c>
      <c r="F576" s="1" t="s">
        <v>9006</v>
      </c>
      <c r="G576" s="1" t="s">
        <v>1698</v>
      </c>
      <c r="J576" s="1" t="s">
        <v>9795</v>
      </c>
      <c r="K576" s="2" t="s">
        <v>7914</v>
      </c>
      <c r="L576" s="3" t="s">
        <v>8493</v>
      </c>
      <c r="M576" s="1" t="s">
        <v>12239</v>
      </c>
      <c r="P576" s="7" t="s">
        <v>1241</v>
      </c>
      <c r="Q576" s="13"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576" s="13"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S576" s="13"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T576" s="13"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576" s="13"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AU576" s="15"/>
      <c r="AV576" s="1" t="s">
        <v>1502</v>
      </c>
      <c r="BG576" s="7" t="s">
        <v>1503</v>
      </c>
      <c r="BH576" s="1" t="s">
        <v>2034</v>
      </c>
      <c r="BI576" s="2" t="s">
        <v>3749</v>
      </c>
      <c r="BJ576" s="1" t="s">
        <v>1875</v>
      </c>
      <c r="BK576" s="2" t="s">
        <v>3750</v>
      </c>
    </row>
    <row r="577" spans="1:71" ht="90" x14ac:dyDescent="0.45">
      <c r="A577" s="5">
        <v>576</v>
      </c>
      <c r="B577" s="8" t="s">
        <v>381</v>
      </c>
      <c r="C577" s="6" t="s">
        <v>6851</v>
      </c>
      <c r="D577" s="7" t="s">
        <v>9794</v>
      </c>
      <c r="E577" s="6" t="s">
        <v>381</v>
      </c>
      <c r="F577" s="1"/>
      <c r="G577" s="1"/>
      <c r="J577" s="1" t="s">
        <v>9795</v>
      </c>
      <c r="K577" s="2" t="s">
        <v>7915</v>
      </c>
      <c r="L577" s="9" t="s">
        <v>8494</v>
      </c>
      <c r="P577" s="7" t="s">
        <v>1241</v>
      </c>
      <c r="AU577" s="15"/>
      <c r="AV577" s="1" t="s">
        <v>1502</v>
      </c>
      <c r="BG577" s="7" t="s">
        <v>1503</v>
      </c>
      <c r="BH577" s="1" t="s">
        <v>2458</v>
      </c>
      <c r="BI577" s="2" t="s">
        <v>7916</v>
      </c>
      <c r="BJ577" s="1" t="s">
        <v>1947</v>
      </c>
      <c r="BK577" s="2" t="s">
        <v>3751</v>
      </c>
      <c r="BL577" s="1" t="s">
        <v>3752</v>
      </c>
      <c r="BM577" s="2" t="s">
        <v>3753</v>
      </c>
      <c r="BN577" s="1" t="s">
        <v>1959</v>
      </c>
      <c r="BO577" s="2" t="s">
        <v>3754</v>
      </c>
      <c r="BP577" s="1" t="s">
        <v>1875</v>
      </c>
      <c r="BQ577" s="2" t="s">
        <v>3755</v>
      </c>
      <c r="BR577" s="1" t="s">
        <v>1877</v>
      </c>
      <c r="BS577" s="2" t="s">
        <v>3756</v>
      </c>
    </row>
    <row r="578" spans="1:71" ht="270" x14ac:dyDescent="0.45">
      <c r="A578" s="5">
        <v>577</v>
      </c>
      <c r="B578" s="8" t="s">
        <v>1768</v>
      </c>
      <c r="C578" s="6" t="s">
        <v>6851</v>
      </c>
      <c r="D578" s="7" t="s">
        <v>9794</v>
      </c>
      <c r="E578" s="1" t="s">
        <v>46</v>
      </c>
      <c r="F578" s="1" t="s">
        <v>1408</v>
      </c>
      <c r="G578" s="1"/>
      <c r="J578" s="1" t="s">
        <v>9795</v>
      </c>
      <c r="K578" s="2" t="s">
        <v>7917</v>
      </c>
      <c r="L578" s="3" t="s">
        <v>8495</v>
      </c>
      <c r="M578" s="1" t="s">
        <v>12232</v>
      </c>
      <c r="P578" s="7" t="s">
        <v>1241</v>
      </c>
      <c r="Q578" s="1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R578" s="14"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S578" s="1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T578" s="1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578" s="15"/>
      <c r="V578" s="15"/>
      <c r="W578" s="15"/>
      <c r="X578" s="15"/>
      <c r="Y578" s="15"/>
      <c r="AU578" s="15"/>
      <c r="AV578" s="1" t="s">
        <v>1502</v>
      </c>
      <c r="BG578" s="7" t="s">
        <v>1503</v>
      </c>
      <c r="BH578" s="1" t="s">
        <v>2034</v>
      </c>
      <c r="BI578" s="2" t="s">
        <v>3757</v>
      </c>
      <c r="BJ578" s="1" t="s">
        <v>1959</v>
      </c>
      <c r="BK578" s="1" t="s">
        <v>3758</v>
      </c>
      <c r="BL578" s="1" t="s">
        <v>1875</v>
      </c>
      <c r="BM578" s="2" t="s">
        <v>3759</v>
      </c>
      <c r="BN578" s="1" t="s">
        <v>1877</v>
      </c>
      <c r="BO578" s="2" t="s">
        <v>3760</v>
      </c>
    </row>
    <row r="579" spans="1:71" ht="198" x14ac:dyDescent="0.45">
      <c r="A579" s="5">
        <v>578</v>
      </c>
      <c r="B579" s="8" t="s">
        <v>382</v>
      </c>
      <c r="C579" s="6" t="s">
        <v>6851</v>
      </c>
      <c r="D579" s="7" t="s">
        <v>9794</v>
      </c>
      <c r="E579" s="1" t="s">
        <v>1769</v>
      </c>
      <c r="F579" s="1" t="s">
        <v>705</v>
      </c>
      <c r="G579" s="1"/>
      <c r="J579" s="1" t="s">
        <v>9795</v>
      </c>
      <c r="K579" s="2" t="s">
        <v>7918</v>
      </c>
      <c r="L579" s="9" t="s">
        <v>8496</v>
      </c>
      <c r="P579" s="7" t="s">
        <v>1241</v>
      </c>
      <c r="Q579" s="13"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V579" s="1" t="s">
        <v>1502</v>
      </c>
      <c r="BG579" s="7" t="s">
        <v>1503</v>
      </c>
      <c r="BH579" s="1" t="s">
        <v>1872</v>
      </c>
      <c r="BI579" s="1" t="s">
        <v>3761</v>
      </c>
      <c r="BJ579" s="1" t="s">
        <v>1875</v>
      </c>
      <c r="BK579" s="2" t="s">
        <v>3762</v>
      </c>
      <c r="BL579" s="1" t="s">
        <v>3497</v>
      </c>
      <c r="BM579" s="2" t="s">
        <v>3763</v>
      </c>
    </row>
    <row r="580" spans="1:71" ht="180" x14ac:dyDescent="0.45">
      <c r="A580" s="5">
        <v>579</v>
      </c>
      <c r="B580" s="8" t="s">
        <v>1770</v>
      </c>
      <c r="C580" s="6" t="s">
        <v>6852</v>
      </c>
      <c r="D580" s="7" t="s">
        <v>9794</v>
      </c>
      <c r="E580" s="1" t="s">
        <v>383</v>
      </c>
      <c r="F580" s="1"/>
      <c r="G580" s="1"/>
      <c r="J580" s="1" t="s">
        <v>9795</v>
      </c>
      <c r="K580" s="2"/>
      <c r="L580" s="4" t="s">
        <v>8497</v>
      </c>
      <c r="M580" s="1" t="s">
        <v>12265</v>
      </c>
      <c r="P580" s="7" t="s">
        <v>1241</v>
      </c>
      <c r="Q580" s="14"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R580" s="14"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S580" s="14"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580" s="14"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U580" s="15"/>
      <c r="AV580" s="1" t="s">
        <v>1502</v>
      </c>
      <c r="BG580" s="7" t="s">
        <v>1503</v>
      </c>
      <c r="BH580" s="1" t="s">
        <v>1976</v>
      </c>
      <c r="BI580" s="2" t="s">
        <v>3764</v>
      </c>
      <c r="BJ580" s="1" t="s">
        <v>3765</v>
      </c>
      <c r="BK580" s="2" t="s">
        <v>3766</v>
      </c>
      <c r="BL580" s="1" t="s">
        <v>2034</v>
      </c>
      <c r="BM580" s="2" t="s">
        <v>3767</v>
      </c>
      <c r="BN580" s="1" t="s">
        <v>1959</v>
      </c>
      <c r="BO580" s="1" t="s">
        <v>383</v>
      </c>
      <c r="BP580" s="1" t="s">
        <v>1875</v>
      </c>
      <c r="BQ580" s="2" t="s">
        <v>3768</v>
      </c>
      <c r="BR580" s="1" t="s">
        <v>1877</v>
      </c>
      <c r="BS580" s="2" t="s">
        <v>3769</v>
      </c>
    </row>
    <row r="581" spans="1:71" ht="396" x14ac:dyDescent="0.45">
      <c r="A581" s="5">
        <v>580</v>
      </c>
      <c r="B581" s="8" t="s">
        <v>384</v>
      </c>
      <c r="C581" s="6" t="s">
        <v>6852</v>
      </c>
      <c r="D581" s="7" t="s">
        <v>9794</v>
      </c>
      <c r="E581" s="1" t="s">
        <v>1771</v>
      </c>
      <c r="F581" s="1" t="s">
        <v>1548</v>
      </c>
      <c r="G581" s="1"/>
      <c r="J581" s="1" t="s">
        <v>9795</v>
      </c>
      <c r="K581" s="2" t="s">
        <v>7919</v>
      </c>
      <c r="L581" s="3" t="s">
        <v>8498</v>
      </c>
      <c r="M581" s="1" t="s">
        <v>12256</v>
      </c>
      <c r="P581" s="7" t="s">
        <v>1241</v>
      </c>
      <c r="Q581" s="14"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581"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S581" s="14"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T581" s="14"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U581" s="14"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V581" s="13"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AU581" s="15"/>
      <c r="AV581" s="1" t="s">
        <v>1502</v>
      </c>
      <c r="BG581" s="7" t="s">
        <v>1503</v>
      </c>
      <c r="BH581" s="1" t="s">
        <v>2034</v>
      </c>
      <c r="BI581" s="2" t="s">
        <v>7920</v>
      </c>
      <c r="BJ581" s="1" t="s">
        <v>1959</v>
      </c>
      <c r="BK581" s="1" t="s">
        <v>3770</v>
      </c>
      <c r="BL581" s="1" t="s">
        <v>1875</v>
      </c>
      <c r="BM581" s="2" t="s">
        <v>3771</v>
      </c>
    </row>
    <row r="582" spans="1:71" ht="126" x14ac:dyDescent="0.45">
      <c r="A582" s="5">
        <v>581</v>
      </c>
      <c r="B582" s="8" t="s">
        <v>385</v>
      </c>
      <c r="C582" s="6" t="s">
        <v>6852</v>
      </c>
      <c r="D582" s="7" t="s">
        <v>9794</v>
      </c>
      <c r="E582" s="1" t="s">
        <v>1772</v>
      </c>
      <c r="F582" s="1" t="s">
        <v>1551</v>
      </c>
      <c r="G582" s="1"/>
      <c r="J582" s="1" t="s">
        <v>9795</v>
      </c>
      <c r="K582" s="2" t="s">
        <v>7921</v>
      </c>
      <c r="L582" s="9" t="s">
        <v>8499</v>
      </c>
      <c r="P582" s="7" t="s">
        <v>1241</v>
      </c>
      <c r="AU582" s="15"/>
      <c r="AV582" s="1" t="s">
        <v>1502</v>
      </c>
      <c r="BG582" s="7" t="s">
        <v>1503</v>
      </c>
      <c r="BH582" s="1" t="s">
        <v>3772</v>
      </c>
      <c r="BI582" s="2" t="s">
        <v>3773</v>
      </c>
      <c r="BJ582" s="1" t="s">
        <v>2036</v>
      </c>
      <c r="BK582" s="1" t="s">
        <v>3774</v>
      </c>
      <c r="BL582" s="1" t="s">
        <v>1877</v>
      </c>
      <c r="BM582" s="2" t="s">
        <v>3775</v>
      </c>
    </row>
    <row r="583" spans="1:71" ht="252" x14ac:dyDescent="0.45">
      <c r="A583" s="5">
        <v>582</v>
      </c>
      <c r="B583" s="8" t="s">
        <v>386</v>
      </c>
      <c r="C583" s="6" t="s">
        <v>6852</v>
      </c>
      <c r="D583" s="7" t="s">
        <v>9794</v>
      </c>
      <c r="E583" s="1" t="s">
        <v>1505</v>
      </c>
      <c r="F583" s="1" t="s">
        <v>1773</v>
      </c>
      <c r="G583" s="1"/>
      <c r="J583" s="1" t="s">
        <v>9795</v>
      </c>
      <c r="K583" s="2" t="s">
        <v>7922</v>
      </c>
      <c r="L583" s="3" t="s">
        <v>8500</v>
      </c>
      <c r="M583" s="1" t="s">
        <v>12246</v>
      </c>
      <c r="P583" s="7" t="s">
        <v>1241</v>
      </c>
      <c r="Q583" s="13"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583" s="13"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S583" s="13"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T583" s="13"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U583" s="13"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AU583" s="15"/>
      <c r="AV583" s="1" t="s">
        <v>1502</v>
      </c>
      <c r="BG583" s="7" t="s">
        <v>1503</v>
      </c>
      <c r="BH583" s="1" t="s">
        <v>2034</v>
      </c>
      <c r="BI583" s="2" t="s">
        <v>7923</v>
      </c>
      <c r="BJ583" s="1" t="s">
        <v>1959</v>
      </c>
      <c r="BK583" s="1" t="s">
        <v>3776</v>
      </c>
      <c r="BL583" s="1" t="s">
        <v>1875</v>
      </c>
      <c r="BM583" s="2" t="s">
        <v>3777</v>
      </c>
      <c r="BN583" s="1" t="s">
        <v>1877</v>
      </c>
      <c r="BO583" s="2" t="s">
        <v>3778</v>
      </c>
    </row>
    <row r="584" spans="1:71" ht="180" x14ac:dyDescent="0.45">
      <c r="A584" s="5">
        <v>583</v>
      </c>
      <c r="B584" s="8" t="s">
        <v>387</v>
      </c>
      <c r="C584" s="6" t="s">
        <v>6852</v>
      </c>
      <c r="D584" s="7" t="s">
        <v>9794</v>
      </c>
      <c r="E584" s="1" t="s">
        <v>1774</v>
      </c>
      <c r="F584" s="1" t="s">
        <v>1775</v>
      </c>
      <c r="G584" s="1"/>
      <c r="J584" s="1" t="s">
        <v>9795</v>
      </c>
      <c r="K584" s="2" t="s">
        <v>7924</v>
      </c>
      <c r="L584" s="3" t="s">
        <v>8501</v>
      </c>
      <c r="P584" s="7" t="s">
        <v>1241</v>
      </c>
      <c r="AU584" s="15"/>
      <c r="AV584" s="1" t="s">
        <v>1502</v>
      </c>
      <c r="BG584" s="7" t="s">
        <v>1503</v>
      </c>
      <c r="BH584" s="1" t="s">
        <v>2034</v>
      </c>
      <c r="BI584" s="2" t="s">
        <v>3779</v>
      </c>
      <c r="BJ584" s="1" t="s">
        <v>1877</v>
      </c>
      <c r="BK584" s="2" t="s">
        <v>3780</v>
      </c>
    </row>
    <row r="585" spans="1:71" ht="162" x14ac:dyDescent="0.45">
      <c r="A585" s="5">
        <v>584</v>
      </c>
      <c r="B585" s="8" t="s">
        <v>1777</v>
      </c>
      <c r="C585" s="6" t="s">
        <v>6852</v>
      </c>
      <c r="D585" s="7" t="s">
        <v>9794</v>
      </c>
      <c r="E585" s="1" t="s">
        <v>9007</v>
      </c>
      <c r="F585" s="1" t="s">
        <v>49</v>
      </c>
      <c r="G585" s="1"/>
      <c r="J585" s="1" t="s">
        <v>9795</v>
      </c>
      <c r="K585" s="2" t="s">
        <v>7925</v>
      </c>
      <c r="L585" s="4" t="s">
        <v>8502</v>
      </c>
      <c r="M585" s="1" t="s">
        <v>12214</v>
      </c>
      <c r="P585" s="7" t="s">
        <v>1241</v>
      </c>
      <c r="Q585" s="14" t="str">
        <f>INDEX($L:$L, MATCH("survive", $B:$B, 0))</f>
        <v>&lt;span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v>
      </c>
      <c r="R585" s="14"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S585" s="13" t="str">
        <f>INDEX($L:$L, MATCH("vivid", $B:$B, 0))</f>
        <v>&lt;span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v>
      </c>
      <c r="AU585" s="15"/>
      <c r="AV585" s="1" t="s">
        <v>1502</v>
      </c>
      <c r="BG585" s="7" t="s">
        <v>1503</v>
      </c>
      <c r="BH585" s="1" t="s">
        <v>2034</v>
      </c>
      <c r="BI585" s="2" t="s">
        <v>3781</v>
      </c>
      <c r="BJ585" s="1" t="s">
        <v>1959</v>
      </c>
      <c r="BK585" s="1" t="s">
        <v>3782</v>
      </c>
      <c r="BL585" s="1" t="s">
        <v>1875</v>
      </c>
      <c r="BM585" s="2" t="s">
        <v>3783</v>
      </c>
      <c r="BN585" s="1" t="s">
        <v>1877</v>
      </c>
      <c r="BO585" s="2" t="s">
        <v>3784</v>
      </c>
    </row>
    <row r="586" spans="1:71" ht="234" x14ac:dyDescent="0.45">
      <c r="A586" s="5">
        <v>585</v>
      </c>
      <c r="B586" s="8" t="s">
        <v>1778</v>
      </c>
      <c r="C586" s="6" t="s">
        <v>6852</v>
      </c>
      <c r="D586" s="7" t="s">
        <v>9794</v>
      </c>
      <c r="E586" s="1" t="s">
        <v>46</v>
      </c>
      <c r="F586" s="1" t="s">
        <v>1339</v>
      </c>
      <c r="G586" s="1" t="s">
        <v>1584</v>
      </c>
      <c r="H586" s="1" t="s">
        <v>1293</v>
      </c>
      <c r="J586" s="1" t="s">
        <v>9795</v>
      </c>
      <c r="K586" s="2" t="s">
        <v>7926</v>
      </c>
      <c r="L586" s="3" t="s">
        <v>8503</v>
      </c>
      <c r="M586" s="1" t="s">
        <v>12206</v>
      </c>
      <c r="P586" s="7" t="s">
        <v>1241</v>
      </c>
      <c r="Q586" s="14"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586" s="14"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586" s="14"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T586" s="14"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U586" s="14"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V586" s="1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W586" s="15"/>
      <c r="AU586" s="15"/>
      <c r="AV586" s="1" t="s">
        <v>1502</v>
      </c>
      <c r="BG586" s="7" t="s">
        <v>1503</v>
      </c>
      <c r="BH586" s="1" t="s">
        <v>2034</v>
      </c>
      <c r="BI586" s="2" t="s">
        <v>5082</v>
      </c>
      <c r="BJ586" s="1" t="s">
        <v>2036</v>
      </c>
      <c r="BK586" s="2" t="s">
        <v>3785</v>
      </c>
      <c r="BL586" s="1" t="s">
        <v>1875</v>
      </c>
      <c r="BM586" s="2" t="s">
        <v>3786</v>
      </c>
      <c r="BN586" s="1" t="s">
        <v>1877</v>
      </c>
      <c r="BO586" s="2" t="s">
        <v>3787</v>
      </c>
    </row>
    <row r="587" spans="1:71" ht="216" x14ac:dyDescent="0.45">
      <c r="A587" s="5">
        <v>586</v>
      </c>
      <c r="B587" s="8" t="s">
        <v>1779</v>
      </c>
      <c r="C587" s="6" t="s">
        <v>6852</v>
      </c>
      <c r="D587" s="7" t="s">
        <v>9794</v>
      </c>
      <c r="E587" s="1" t="s">
        <v>7927</v>
      </c>
      <c r="F587" s="1" t="s">
        <v>7928</v>
      </c>
      <c r="G587" s="1"/>
      <c r="J587" s="1" t="s">
        <v>9795</v>
      </c>
      <c r="K587" s="2" t="s">
        <v>7929</v>
      </c>
      <c r="L587" s="3" t="s">
        <v>9248</v>
      </c>
      <c r="M587" s="1" t="s">
        <v>12232</v>
      </c>
      <c r="P587" s="7" t="s">
        <v>1241</v>
      </c>
      <c r="Q587" s="1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R587" s="14"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S587" s="1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T587" s="1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U587" s="15"/>
      <c r="V587" s="15"/>
      <c r="W587" s="15"/>
      <c r="X587" s="15"/>
      <c r="Y587" s="15"/>
      <c r="AU587" s="15"/>
      <c r="AV587" s="1" t="s">
        <v>1502</v>
      </c>
      <c r="BG587" s="7" t="s">
        <v>1503</v>
      </c>
      <c r="BH587" s="1" t="s">
        <v>2034</v>
      </c>
      <c r="BI587" s="2" t="s">
        <v>3788</v>
      </c>
      <c r="BJ587" s="1" t="s">
        <v>1875</v>
      </c>
      <c r="BK587" s="2" t="s">
        <v>3789</v>
      </c>
    </row>
    <row r="588" spans="1:71" ht="409.6" x14ac:dyDescent="0.45">
      <c r="A588" s="5">
        <v>587</v>
      </c>
      <c r="B588" s="8" t="s">
        <v>1780</v>
      </c>
      <c r="C588" s="6" t="s">
        <v>6852</v>
      </c>
      <c r="D588" s="7" t="s">
        <v>9794</v>
      </c>
      <c r="E588" s="1" t="s">
        <v>9008</v>
      </c>
      <c r="F588" s="1" t="s">
        <v>1695</v>
      </c>
      <c r="G588" s="1"/>
      <c r="J588" s="1" t="s">
        <v>9795</v>
      </c>
      <c r="K588" s="2" t="s">
        <v>7930</v>
      </c>
      <c r="L588" s="4" t="s">
        <v>8504</v>
      </c>
      <c r="M588" s="1" t="s">
        <v>12264</v>
      </c>
      <c r="P588" s="7" t="s">
        <v>1241</v>
      </c>
      <c r="Q588" s="14"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R588" s="14"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S588" s="14"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T588" s="13"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U588" s="15"/>
      <c r="AV588" s="1" t="s">
        <v>1502</v>
      </c>
      <c r="BG588" s="7" t="s">
        <v>1503</v>
      </c>
      <c r="BH588" s="1" t="s">
        <v>2034</v>
      </c>
      <c r="BI588" s="2" t="s">
        <v>3790</v>
      </c>
      <c r="BJ588" s="1" t="s">
        <v>1875</v>
      </c>
      <c r="BK588" s="2" t="s">
        <v>3791</v>
      </c>
      <c r="BL588" s="1" t="s">
        <v>1877</v>
      </c>
      <c r="BM588" s="2" t="s">
        <v>3792</v>
      </c>
    </row>
    <row r="589" spans="1:71" ht="180" x14ac:dyDescent="0.45">
      <c r="A589" s="5">
        <v>588</v>
      </c>
      <c r="B589" s="8" t="s">
        <v>1781</v>
      </c>
      <c r="C589" s="6" t="s">
        <v>6852</v>
      </c>
      <c r="D589" s="7" t="s">
        <v>9794</v>
      </c>
      <c r="E589" s="1" t="s">
        <v>205</v>
      </c>
      <c r="F589" s="1" t="s">
        <v>1918</v>
      </c>
      <c r="G589" s="1" t="s">
        <v>1541</v>
      </c>
      <c r="J589" s="1" t="s">
        <v>9795</v>
      </c>
      <c r="K589" s="2" t="s">
        <v>7931</v>
      </c>
      <c r="L589" s="4" t="s">
        <v>8505</v>
      </c>
      <c r="M589" s="1" t="s">
        <v>12243</v>
      </c>
      <c r="P589" s="7" t="s">
        <v>1241</v>
      </c>
      <c r="Q589" s="14"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R589" s="14"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S589" s="13"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AU589" s="15"/>
      <c r="AV589" s="1" t="s">
        <v>1502</v>
      </c>
      <c r="BG589" s="7" t="s">
        <v>1503</v>
      </c>
      <c r="BH589" s="1" t="s">
        <v>2034</v>
      </c>
      <c r="BI589" s="2" t="s">
        <v>3793</v>
      </c>
      <c r="BJ589" s="1" t="s">
        <v>1875</v>
      </c>
      <c r="BK589" s="2" t="s">
        <v>3794</v>
      </c>
      <c r="BL589" s="1" t="s">
        <v>1877</v>
      </c>
      <c r="BM589" s="2" t="s">
        <v>3795</v>
      </c>
    </row>
    <row r="590" spans="1:71" ht="144" x14ac:dyDescent="0.45">
      <c r="A590" s="5">
        <v>589</v>
      </c>
      <c r="B590" s="8" t="s">
        <v>388</v>
      </c>
      <c r="C590" s="6" t="s">
        <v>6852</v>
      </c>
      <c r="D590" s="7" t="s">
        <v>9794</v>
      </c>
      <c r="E590" s="1" t="s">
        <v>1427</v>
      </c>
      <c r="F590" s="1" t="s">
        <v>1456</v>
      </c>
      <c r="G590" s="1"/>
      <c r="J590" s="1" t="s">
        <v>9795</v>
      </c>
      <c r="K590" s="2" t="s">
        <v>7932</v>
      </c>
      <c r="L590" s="4" t="s">
        <v>8506</v>
      </c>
      <c r="M590" s="1" t="s">
        <v>12247</v>
      </c>
      <c r="P590" s="7" t="s">
        <v>1241</v>
      </c>
      <c r="Q590"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590"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590"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590"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590"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590"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590"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590"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590"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590"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590"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590"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590"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590"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590"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590" s="1" t="s">
        <v>1502</v>
      </c>
      <c r="BG590" s="7" t="s">
        <v>1503</v>
      </c>
      <c r="BH590" s="1" t="s">
        <v>1976</v>
      </c>
      <c r="BI590" s="1" t="s">
        <v>3796</v>
      </c>
      <c r="BJ590" s="1" t="s">
        <v>2034</v>
      </c>
      <c r="BK590" s="2" t="s">
        <v>3797</v>
      </c>
      <c r="BL590" s="1" t="s">
        <v>1959</v>
      </c>
      <c r="BM590" s="1" t="s">
        <v>3798</v>
      </c>
      <c r="BN590" s="1" t="s">
        <v>1875</v>
      </c>
      <c r="BO590" s="2" t="s">
        <v>3799</v>
      </c>
    </row>
    <row r="591" spans="1:71" ht="144" x14ac:dyDescent="0.45">
      <c r="A591" s="5">
        <v>590</v>
      </c>
      <c r="B591" s="8" t="s">
        <v>389</v>
      </c>
      <c r="C591" s="6" t="s">
        <v>6852</v>
      </c>
      <c r="D591" s="7" t="s">
        <v>9794</v>
      </c>
      <c r="E591" s="1" t="s">
        <v>3800</v>
      </c>
      <c r="F591" s="1" t="s">
        <v>3801</v>
      </c>
      <c r="G591" s="1"/>
      <c r="J591" s="1" t="s">
        <v>9795</v>
      </c>
      <c r="K591" s="2" t="s">
        <v>7933</v>
      </c>
      <c r="L591" s="4" t="s">
        <v>8507</v>
      </c>
      <c r="P591" s="7" t="s">
        <v>1241</v>
      </c>
      <c r="Q591" s="13" t="str">
        <f>INDEX($L:$L, MATCH("reflect", $B:$B, 0))</f>
        <v>&lt;span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v>
      </c>
      <c r="AU591" s="15"/>
      <c r="AV591" s="1" t="s">
        <v>1502</v>
      </c>
      <c r="BG591" s="7" t="s">
        <v>1503</v>
      </c>
      <c r="BH591" s="1" t="s">
        <v>2034</v>
      </c>
      <c r="BI591" s="2" t="s">
        <v>3802</v>
      </c>
      <c r="BJ591" s="1" t="s">
        <v>1959</v>
      </c>
      <c r="BK591" s="1" t="s">
        <v>389</v>
      </c>
      <c r="BL591" s="1" t="s">
        <v>1875</v>
      </c>
      <c r="BM591" s="2" t="s">
        <v>3803</v>
      </c>
    </row>
    <row r="592" spans="1:71" ht="72" x14ac:dyDescent="0.45">
      <c r="A592" s="5">
        <v>591</v>
      </c>
      <c r="B592" s="8" t="s">
        <v>390</v>
      </c>
      <c r="C592" s="6" t="s">
        <v>6852</v>
      </c>
      <c r="D592" s="7" t="s">
        <v>9794</v>
      </c>
      <c r="E592" s="6" t="s">
        <v>390</v>
      </c>
      <c r="F592" s="1"/>
      <c r="G592" s="1"/>
      <c r="J592" s="1" t="s">
        <v>9795</v>
      </c>
      <c r="L592" s="9" t="s">
        <v>8508</v>
      </c>
      <c r="P592" s="7" t="s">
        <v>1241</v>
      </c>
      <c r="AU592" s="15"/>
      <c r="AV592" s="1" t="s">
        <v>1502</v>
      </c>
      <c r="BG592" s="7" t="s">
        <v>1503</v>
      </c>
      <c r="BH592" s="1" t="s">
        <v>2034</v>
      </c>
      <c r="BI592" s="2" t="s">
        <v>3804</v>
      </c>
      <c r="BJ592" s="1" t="s">
        <v>1875</v>
      </c>
      <c r="BK592" s="2" t="s">
        <v>3805</v>
      </c>
    </row>
    <row r="593" spans="1:71" ht="144" x14ac:dyDescent="0.45">
      <c r="A593" s="5">
        <v>592</v>
      </c>
      <c r="B593" s="8" t="s">
        <v>391</v>
      </c>
      <c r="C593" s="6" t="s">
        <v>6852</v>
      </c>
      <c r="D593" s="7" t="s">
        <v>9794</v>
      </c>
      <c r="E593" s="1" t="s">
        <v>3806</v>
      </c>
      <c r="F593" s="1" t="s">
        <v>1441</v>
      </c>
      <c r="G593" s="1" t="s">
        <v>1528</v>
      </c>
      <c r="J593" s="1" t="s">
        <v>9795</v>
      </c>
      <c r="K593" s="2"/>
      <c r="L593" s="4" t="s">
        <v>9249</v>
      </c>
      <c r="M593" s="1" t="s">
        <v>12239</v>
      </c>
      <c r="P593" s="7" t="s">
        <v>1241</v>
      </c>
      <c r="Q593" s="13"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593" s="13"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593" s="13"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T593" s="13"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593" s="13"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AU593" s="15"/>
      <c r="AV593" s="1" t="s">
        <v>1502</v>
      </c>
      <c r="BG593" s="7" t="s">
        <v>1503</v>
      </c>
      <c r="BH593" s="1" t="s">
        <v>2034</v>
      </c>
      <c r="BI593" s="2" t="s">
        <v>3807</v>
      </c>
      <c r="BJ593" s="1" t="s">
        <v>1877</v>
      </c>
      <c r="BK593" s="2" t="s">
        <v>3808</v>
      </c>
      <c r="BM593" s="2"/>
    </row>
    <row r="594" spans="1:71" ht="270" x14ac:dyDescent="0.45">
      <c r="A594" s="5">
        <v>593</v>
      </c>
      <c r="B594" s="8" t="s">
        <v>1782</v>
      </c>
      <c r="C594" s="6" t="s">
        <v>6852</v>
      </c>
      <c r="D594" s="7" t="s">
        <v>9794</v>
      </c>
      <c r="E594" s="1" t="s">
        <v>3809</v>
      </c>
      <c r="F594" s="1" t="s">
        <v>3801</v>
      </c>
      <c r="G594" s="1"/>
      <c r="J594" s="1" t="s">
        <v>9795</v>
      </c>
      <c r="K594" s="2" t="s">
        <v>7934</v>
      </c>
      <c r="L594" s="4" t="s">
        <v>8509</v>
      </c>
      <c r="M594" s="1" t="s">
        <v>12187</v>
      </c>
      <c r="P594" s="7" t="s">
        <v>1241</v>
      </c>
      <c r="Q594" s="1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594" s="1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594"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T594"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U594" s="1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594" s="14"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594"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594" s="15"/>
      <c r="AV594" s="1" t="s">
        <v>1502</v>
      </c>
      <c r="BG594" s="7" t="s">
        <v>1503</v>
      </c>
      <c r="BH594" s="1" t="s">
        <v>2034</v>
      </c>
      <c r="BI594" s="2" t="s">
        <v>3810</v>
      </c>
      <c r="BJ594" s="1" t="s">
        <v>1959</v>
      </c>
      <c r="BK594" s="1" t="s">
        <v>3811</v>
      </c>
      <c r="BL594" s="1" t="s">
        <v>1875</v>
      </c>
      <c r="BM594" s="2" t="s">
        <v>3812</v>
      </c>
    </row>
    <row r="595" spans="1:71" ht="409.6" x14ac:dyDescent="0.45">
      <c r="A595" s="5">
        <v>594</v>
      </c>
      <c r="B595" s="8" t="s">
        <v>1783</v>
      </c>
      <c r="C595" s="6" t="s">
        <v>6852</v>
      </c>
      <c r="D595" s="7" t="s">
        <v>9794</v>
      </c>
      <c r="E595" s="1" t="s">
        <v>1941</v>
      </c>
      <c r="F595" s="1" t="s">
        <v>1413</v>
      </c>
      <c r="G595" s="1" t="s">
        <v>1919</v>
      </c>
      <c r="H595" s="1" t="s">
        <v>1920</v>
      </c>
      <c r="J595" s="1" t="s">
        <v>9795</v>
      </c>
      <c r="K595" s="2" t="s">
        <v>7935</v>
      </c>
      <c r="L595" s="4" t="s">
        <v>8510</v>
      </c>
      <c r="M595" s="1" t="s">
        <v>12189</v>
      </c>
      <c r="P595" s="7" t="s">
        <v>1241</v>
      </c>
      <c r="Q595" s="1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595" s="1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595" s="1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595" s="1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595" s="1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595" s="1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W595" s="1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X595" s="1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Y595" s="1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595" s="1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595" s="15"/>
      <c r="AV595" s="1" t="s">
        <v>1502</v>
      </c>
      <c r="BG595" s="7" t="s">
        <v>1503</v>
      </c>
      <c r="BH595" s="1" t="s">
        <v>2034</v>
      </c>
      <c r="BI595" s="2" t="s">
        <v>7936</v>
      </c>
      <c r="BJ595" s="1" t="s">
        <v>1877</v>
      </c>
      <c r="BK595" s="2" t="s">
        <v>3813</v>
      </c>
    </row>
    <row r="596" spans="1:71" ht="108" x14ac:dyDescent="0.45">
      <c r="A596" s="5">
        <v>595</v>
      </c>
      <c r="B596" s="8" t="s">
        <v>392</v>
      </c>
      <c r="C596" s="6" t="s">
        <v>6852</v>
      </c>
      <c r="D596" s="7" t="s">
        <v>9794</v>
      </c>
      <c r="E596" s="1" t="s">
        <v>1784</v>
      </c>
      <c r="F596" s="1" t="s">
        <v>1551</v>
      </c>
      <c r="G596" s="1"/>
      <c r="J596" s="1" t="s">
        <v>9795</v>
      </c>
      <c r="K596" s="2" t="s">
        <v>7937</v>
      </c>
      <c r="L596" s="9" t="s">
        <v>8511</v>
      </c>
      <c r="P596" s="7" t="s">
        <v>1241</v>
      </c>
      <c r="AU596" s="15"/>
      <c r="AV596" s="1" t="s">
        <v>1502</v>
      </c>
      <c r="BG596" s="7" t="s">
        <v>1503</v>
      </c>
      <c r="BH596" s="1" t="s">
        <v>2458</v>
      </c>
      <c r="BI596" s="2" t="s">
        <v>3814</v>
      </c>
      <c r="BJ596" s="1" t="s">
        <v>2036</v>
      </c>
      <c r="BK596" s="2" t="s">
        <v>3815</v>
      </c>
      <c r="BL596" s="1" t="s">
        <v>1875</v>
      </c>
      <c r="BM596" s="2" t="s">
        <v>3816</v>
      </c>
      <c r="BN596" s="1" t="s">
        <v>1877</v>
      </c>
      <c r="BO596" s="2" t="s">
        <v>3817</v>
      </c>
    </row>
    <row r="597" spans="1:71" ht="216" x14ac:dyDescent="0.45">
      <c r="A597" s="5">
        <v>596</v>
      </c>
      <c r="B597" s="8" t="s">
        <v>393</v>
      </c>
      <c r="C597" s="6" t="s">
        <v>6852</v>
      </c>
      <c r="D597" s="7" t="s">
        <v>9794</v>
      </c>
      <c r="E597" s="1" t="s">
        <v>49</v>
      </c>
      <c r="F597" s="1" t="s">
        <v>3818</v>
      </c>
      <c r="G597" s="1"/>
      <c r="J597" s="1" t="s">
        <v>9795</v>
      </c>
      <c r="K597" s="2" t="s">
        <v>7938</v>
      </c>
      <c r="L597" s="4" t="s">
        <v>12161</v>
      </c>
      <c r="M597" s="1" t="s">
        <v>12262</v>
      </c>
      <c r="P597" s="7" t="s">
        <v>1241</v>
      </c>
      <c r="Q597" s="13"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597" s="13"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S597" s="13"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AV597" s="1" t="s">
        <v>1502</v>
      </c>
      <c r="BG597" s="7" t="s">
        <v>1503</v>
      </c>
      <c r="BH597" s="1" t="s">
        <v>1976</v>
      </c>
      <c r="BI597" s="1" t="s">
        <v>3819</v>
      </c>
      <c r="BJ597" s="1" t="s">
        <v>2034</v>
      </c>
      <c r="BK597" s="2" t="s">
        <v>3820</v>
      </c>
      <c r="BL597" s="1" t="s">
        <v>1959</v>
      </c>
      <c r="BM597" s="1" t="s">
        <v>3821</v>
      </c>
      <c r="BN597" s="1" t="s">
        <v>1875</v>
      </c>
      <c r="BO597" s="2" t="s">
        <v>3822</v>
      </c>
      <c r="BP597" s="1" t="s">
        <v>3497</v>
      </c>
      <c r="BQ597" s="2" t="s">
        <v>3823</v>
      </c>
    </row>
    <row r="598" spans="1:71" ht="252" x14ac:dyDescent="0.45">
      <c r="A598" s="5">
        <v>597</v>
      </c>
      <c r="B598" s="8" t="s">
        <v>394</v>
      </c>
      <c r="C598" s="6" t="s">
        <v>6852</v>
      </c>
      <c r="D598" s="7" t="s">
        <v>9794</v>
      </c>
      <c r="E598" s="1" t="s">
        <v>27</v>
      </c>
      <c r="F598" s="1" t="s">
        <v>7939</v>
      </c>
      <c r="G598" s="1" t="s">
        <v>49</v>
      </c>
      <c r="J598" s="1" t="s">
        <v>9795</v>
      </c>
      <c r="K598" s="2" t="s">
        <v>7940</v>
      </c>
      <c r="L598" s="4" t="s">
        <v>8512</v>
      </c>
      <c r="M598" s="1" t="s">
        <v>12191</v>
      </c>
      <c r="P598" s="7" t="s">
        <v>1241</v>
      </c>
      <c r="Q598" s="14"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598" s="14"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S598" s="13"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AU598" s="15"/>
      <c r="AV598" s="1" t="s">
        <v>1502</v>
      </c>
      <c r="BG598" s="7" t="s">
        <v>1503</v>
      </c>
      <c r="BH598" s="1" t="s">
        <v>2034</v>
      </c>
      <c r="BI598" s="2" t="s">
        <v>7941</v>
      </c>
      <c r="BJ598" s="1" t="s">
        <v>1996</v>
      </c>
      <c r="BK598" s="1" t="s">
        <v>394</v>
      </c>
      <c r="BL598" s="1" t="s">
        <v>1877</v>
      </c>
      <c r="BM598" s="2" t="s">
        <v>3824</v>
      </c>
    </row>
    <row r="599" spans="1:71" ht="144" x14ac:dyDescent="0.45">
      <c r="A599" s="5">
        <v>598</v>
      </c>
      <c r="B599" s="8" t="s">
        <v>395</v>
      </c>
      <c r="C599" s="6" t="s">
        <v>6852</v>
      </c>
      <c r="D599" s="7" t="s">
        <v>9794</v>
      </c>
      <c r="E599" s="1" t="s">
        <v>1413</v>
      </c>
      <c r="F599" s="1" t="s">
        <v>1731</v>
      </c>
      <c r="G599" s="1"/>
      <c r="J599" s="1" t="s">
        <v>9795</v>
      </c>
      <c r="K599" s="2" t="s">
        <v>7942</v>
      </c>
      <c r="L599" s="2" t="s">
        <v>8513</v>
      </c>
      <c r="M599" s="1" t="s">
        <v>12228</v>
      </c>
      <c r="P599" s="7" t="s">
        <v>1241</v>
      </c>
      <c r="Q599"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599"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599" s="13"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599"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599" s="13"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599" s="13"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599" s="13"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599" s="13"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599" s="15"/>
      <c r="AV599" s="1" t="s">
        <v>1502</v>
      </c>
      <c r="BG599" s="7" t="s">
        <v>1503</v>
      </c>
      <c r="BH599" s="1" t="s">
        <v>2034</v>
      </c>
      <c r="BI599" s="2" t="s">
        <v>7943</v>
      </c>
      <c r="BJ599" s="1" t="s">
        <v>1877</v>
      </c>
      <c r="BK599" s="2" t="s">
        <v>3825</v>
      </c>
    </row>
    <row r="600" spans="1:71" ht="144" x14ac:dyDescent="0.45">
      <c r="A600" s="5">
        <v>599</v>
      </c>
      <c r="B600" s="8" t="s">
        <v>396</v>
      </c>
      <c r="C600" s="6" t="s">
        <v>6852</v>
      </c>
      <c r="D600" s="7" t="s">
        <v>9794</v>
      </c>
      <c r="E600" s="1" t="s">
        <v>1338</v>
      </c>
      <c r="F600" s="1" t="s">
        <v>3826</v>
      </c>
      <c r="G600" s="1"/>
      <c r="J600" s="1" t="s">
        <v>9795</v>
      </c>
      <c r="K600" s="2" t="s">
        <v>7944</v>
      </c>
      <c r="L600" s="3" t="s">
        <v>8514</v>
      </c>
      <c r="M600" s="1" t="s">
        <v>12168</v>
      </c>
      <c r="P600" s="7" t="s">
        <v>1241</v>
      </c>
      <c r="Q600" s="13" t="str">
        <f>INDEX($L:$L, MATCH("decide", $B:$B, 0))</f>
        <v>&lt;span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v>
      </c>
      <c r="R600" s="13" t="str">
        <f>INDEX($L:$L, MATCH("suicide", $B:$B, 0))</f>
        <v>&lt;span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切る）からは、decide（決断する）・precise（正確な）・concise（簡潔な）も生まれている。いずれも「切る」が核となっている。
&lt;span class="spacer"&gt;&lt;/span&gt;suicideは、self（自身を）＋cide（切る, 殺す）と考えればよい。&lt;/span&gt;</v>
      </c>
      <c r="S600" s="13" t="str">
        <f>INDEX($L:$L, MATCH("pesticide", $B:$B, 0))</f>
        <v>&lt;span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v>
      </c>
      <c r="AU600" s="15"/>
      <c r="AV600" s="1" t="s">
        <v>1502</v>
      </c>
      <c r="BG600" s="7" t="s">
        <v>1503</v>
      </c>
      <c r="BH600" s="1" t="s">
        <v>2034</v>
      </c>
      <c r="BI600" s="2" t="s">
        <v>3827</v>
      </c>
      <c r="BJ600" s="1" t="s">
        <v>1967</v>
      </c>
      <c r="BK600" s="1" t="s">
        <v>3828</v>
      </c>
      <c r="BL600" s="1" t="s">
        <v>1959</v>
      </c>
      <c r="BM600" s="2" t="s">
        <v>3829</v>
      </c>
      <c r="BN600" s="1" t="s">
        <v>1875</v>
      </c>
      <c r="BO600" s="2" t="s">
        <v>3830</v>
      </c>
    </row>
    <row r="601" spans="1:71" ht="234" x14ac:dyDescent="0.45">
      <c r="A601" s="5">
        <v>600</v>
      </c>
      <c r="B601" s="8" t="s">
        <v>397</v>
      </c>
      <c r="C601" s="6" t="s">
        <v>6852</v>
      </c>
      <c r="D601" s="7" t="s">
        <v>9794</v>
      </c>
      <c r="E601" s="1" t="s">
        <v>1785</v>
      </c>
      <c r="F601" s="1" t="s">
        <v>1786</v>
      </c>
      <c r="G601" s="1"/>
      <c r="J601" s="1" t="s">
        <v>9795</v>
      </c>
      <c r="K601" s="2" t="s">
        <v>7945</v>
      </c>
      <c r="L601" s="9" t="s">
        <v>8631</v>
      </c>
      <c r="P601" s="7" t="s">
        <v>1241</v>
      </c>
      <c r="AU601" s="15"/>
      <c r="AV601" s="1" t="s">
        <v>1502</v>
      </c>
      <c r="BG601" s="7" t="s">
        <v>1503</v>
      </c>
      <c r="BH601" s="1" t="s">
        <v>1872</v>
      </c>
      <c r="BI601" s="2" t="s">
        <v>3831</v>
      </c>
      <c r="BJ601" s="1" t="s">
        <v>1875</v>
      </c>
      <c r="BK601" s="2" t="s">
        <v>3832</v>
      </c>
      <c r="BL601" s="1" t="s">
        <v>1877</v>
      </c>
      <c r="BM601" s="2" t="s">
        <v>3833</v>
      </c>
    </row>
    <row r="602" spans="1:71" ht="252" x14ac:dyDescent="0.45">
      <c r="A602" s="5">
        <v>601</v>
      </c>
      <c r="B602" s="8" t="s">
        <v>398</v>
      </c>
      <c r="C602" s="6" t="s">
        <v>1816</v>
      </c>
      <c r="D602" s="7" t="s">
        <v>9794</v>
      </c>
      <c r="E602" s="1" t="s">
        <v>1467</v>
      </c>
      <c r="F602" s="1" t="s">
        <v>1614</v>
      </c>
      <c r="G602" s="1"/>
      <c r="J602" s="1" t="s">
        <v>9795</v>
      </c>
      <c r="K602" s="2" t="s">
        <v>7947</v>
      </c>
      <c r="L602" s="4" t="s">
        <v>8515</v>
      </c>
      <c r="M602" s="1" t="s">
        <v>12257</v>
      </c>
      <c r="P602" s="7" t="s">
        <v>1241</v>
      </c>
      <c r="Q602" s="13"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602" s="13"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S602" s="13"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T602" s="13"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U602" s="13"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AU602" s="15"/>
      <c r="AV602" s="1" t="s">
        <v>1502</v>
      </c>
      <c r="BG602" s="7" t="s">
        <v>1503</v>
      </c>
      <c r="BH602" s="1" t="s">
        <v>2034</v>
      </c>
      <c r="BI602" s="2" t="s">
        <v>3834</v>
      </c>
      <c r="BJ602" s="1" t="s">
        <v>1875</v>
      </c>
      <c r="BK602" s="2" t="s">
        <v>3836</v>
      </c>
      <c r="BL602" s="1" t="s">
        <v>1877</v>
      </c>
      <c r="BM602" s="2" t="s">
        <v>3835</v>
      </c>
    </row>
    <row r="603" spans="1:71" ht="90" x14ac:dyDescent="0.45">
      <c r="A603" s="5">
        <v>602</v>
      </c>
      <c r="B603" s="8" t="s">
        <v>399</v>
      </c>
      <c r="C603" s="6" t="s">
        <v>1816</v>
      </c>
      <c r="D603" s="7" t="s">
        <v>9794</v>
      </c>
      <c r="E603" s="6" t="s">
        <v>1921</v>
      </c>
      <c r="F603" s="1" t="s">
        <v>1818</v>
      </c>
      <c r="G603" s="1"/>
      <c r="J603" s="1" t="s">
        <v>9795</v>
      </c>
      <c r="K603" s="2" t="s">
        <v>7948</v>
      </c>
      <c r="L603" s="4" t="s">
        <v>8516</v>
      </c>
      <c r="M603" s="1" t="s">
        <v>12246</v>
      </c>
      <c r="P603" s="7" t="s">
        <v>1241</v>
      </c>
      <c r="Q603" s="13"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603" s="13"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S603" s="13"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T603" s="13"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U603" s="13"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AU603" s="15"/>
      <c r="AV603" s="1" t="s">
        <v>1502</v>
      </c>
      <c r="BG603" s="7" t="s">
        <v>1503</v>
      </c>
      <c r="BH603" s="1" t="s">
        <v>2034</v>
      </c>
      <c r="BI603" s="2" t="s">
        <v>3837</v>
      </c>
      <c r="BJ603" s="1" t="s">
        <v>1883</v>
      </c>
      <c r="BK603" s="2" t="s">
        <v>3838</v>
      </c>
      <c r="BM603" s="2"/>
    </row>
    <row r="604" spans="1:71" ht="180" x14ac:dyDescent="0.45">
      <c r="A604" s="5">
        <v>603</v>
      </c>
      <c r="B604" s="8" t="s">
        <v>400</v>
      </c>
      <c r="C604" s="6" t="s">
        <v>1816</v>
      </c>
      <c r="D604" s="7" t="s">
        <v>9794</v>
      </c>
      <c r="E604" s="1" t="s">
        <v>1447</v>
      </c>
      <c r="F604" s="1" t="s">
        <v>1787</v>
      </c>
      <c r="G604" s="1"/>
      <c r="J604" s="1" t="s">
        <v>9795</v>
      </c>
      <c r="K604" s="2"/>
      <c r="L604" s="9" t="s">
        <v>9250</v>
      </c>
      <c r="P604" s="7" t="s">
        <v>1241</v>
      </c>
      <c r="AU604" s="15"/>
      <c r="AV604" s="1" t="s">
        <v>1502</v>
      </c>
      <c r="BG604" s="7" t="s">
        <v>1503</v>
      </c>
      <c r="BH604" s="1" t="s">
        <v>2034</v>
      </c>
      <c r="BI604" s="2" t="s">
        <v>3842</v>
      </c>
      <c r="BJ604" s="1" t="s">
        <v>2036</v>
      </c>
      <c r="BK604" s="2" t="s">
        <v>3843</v>
      </c>
      <c r="BL604" s="1" t="s">
        <v>2026</v>
      </c>
      <c r="BM604" s="2" t="s">
        <v>3844</v>
      </c>
      <c r="BN604" s="1" t="s">
        <v>1959</v>
      </c>
      <c r="BO604" s="2" t="s">
        <v>3845</v>
      </c>
      <c r="BP604" s="1" t="s">
        <v>2114</v>
      </c>
      <c r="BQ604" s="1" t="s">
        <v>3846</v>
      </c>
      <c r="BR604" s="1" t="s">
        <v>1875</v>
      </c>
      <c r="BS604" s="2" t="s">
        <v>3847</v>
      </c>
    </row>
    <row r="605" spans="1:71" ht="144" x14ac:dyDescent="0.45">
      <c r="A605" s="5">
        <v>604</v>
      </c>
      <c r="B605" s="8" t="s">
        <v>401</v>
      </c>
      <c r="C605" s="6" t="s">
        <v>1816</v>
      </c>
      <c r="D605" s="7" t="s">
        <v>9794</v>
      </c>
      <c r="E605" s="1" t="s">
        <v>8988</v>
      </c>
      <c r="F605" s="1" t="s">
        <v>646</v>
      </c>
      <c r="G605" s="1"/>
      <c r="J605" s="1" t="s">
        <v>9795</v>
      </c>
      <c r="K605" s="2"/>
      <c r="L605" s="3" t="s">
        <v>8558</v>
      </c>
      <c r="M605" s="1" t="s">
        <v>12237</v>
      </c>
      <c r="P605" s="7" t="s">
        <v>1241</v>
      </c>
      <c r="Q605" s="13"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R605" s="13"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S605" s="13"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T605" s="13"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AU605" s="15"/>
      <c r="AV605" s="1" t="s">
        <v>1502</v>
      </c>
      <c r="BG605" s="7" t="s">
        <v>1503</v>
      </c>
      <c r="BH605" s="1" t="s">
        <v>2034</v>
      </c>
      <c r="BI605" s="2" t="s">
        <v>3848</v>
      </c>
      <c r="BJ605" s="1" t="s">
        <v>2026</v>
      </c>
      <c r="BK605" s="2" t="s">
        <v>3849</v>
      </c>
      <c r="BL605" s="1" t="s">
        <v>1959</v>
      </c>
      <c r="BM605" s="1" t="s">
        <v>3850</v>
      </c>
      <c r="BN605" s="1" t="s">
        <v>2114</v>
      </c>
      <c r="BO605" s="1" t="s">
        <v>3851</v>
      </c>
      <c r="BP605" s="1" t="s">
        <v>1875</v>
      </c>
      <c r="BQ605" s="2" t="s">
        <v>3852</v>
      </c>
    </row>
    <row r="606" spans="1:71" ht="108" x14ac:dyDescent="0.45">
      <c r="A606" s="5">
        <v>605</v>
      </c>
      <c r="B606" s="8" t="s">
        <v>402</v>
      </c>
      <c r="C606" s="6" t="s">
        <v>1816</v>
      </c>
      <c r="D606" s="7" t="s">
        <v>9794</v>
      </c>
      <c r="E606" s="1" t="s">
        <v>1251</v>
      </c>
      <c r="F606" s="1" t="s">
        <v>1731</v>
      </c>
      <c r="G606" s="1"/>
      <c r="J606" s="1" t="s">
        <v>9795</v>
      </c>
      <c r="K606" s="2" t="s">
        <v>7949</v>
      </c>
      <c r="L606" s="2" t="s">
        <v>8517</v>
      </c>
      <c r="M606" s="1" t="s">
        <v>12228</v>
      </c>
      <c r="P606" s="7" t="s">
        <v>1241</v>
      </c>
      <c r="Q606"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606"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606" s="13"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606"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606" s="13"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606" s="13"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606" s="13"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606" s="13"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606" s="15"/>
      <c r="AV606" s="1" t="s">
        <v>1502</v>
      </c>
      <c r="BG606" s="7" t="s">
        <v>1503</v>
      </c>
      <c r="BH606" s="1" t="s">
        <v>2034</v>
      </c>
      <c r="BI606" s="2" t="s">
        <v>3853</v>
      </c>
      <c r="BJ606" s="1" t="s">
        <v>1877</v>
      </c>
      <c r="BK606" s="2" t="s">
        <v>3854</v>
      </c>
    </row>
    <row r="607" spans="1:71" ht="108" x14ac:dyDescent="0.45">
      <c r="A607" s="5">
        <v>606</v>
      </c>
      <c r="B607" s="8" t="s">
        <v>403</v>
      </c>
      <c r="C607" s="6" t="s">
        <v>1816</v>
      </c>
      <c r="D607" s="7" t="s">
        <v>9794</v>
      </c>
      <c r="E607" s="1" t="s">
        <v>1505</v>
      </c>
      <c r="F607" s="1" t="s">
        <v>1788</v>
      </c>
      <c r="G607" s="1"/>
      <c r="J607" s="1" t="s">
        <v>9795</v>
      </c>
      <c r="L607" s="9" t="s">
        <v>8518</v>
      </c>
      <c r="P607" s="7" t="s">
        <v>1241</v>
      </c>
      <c r="AU607" s="15"/>
      <c r="AV607" s="1" t="s">
        <v>1502</v>
      </c>
      <c r="BG607" s="7" t="s">
        <v>1503</v>
      </c>
      <c r="BH607" s="1" t="s">
        <v>2034</v>
      </c>
      <c r="BI607" s="2" t="s">
        <v>3855</v>
      </c>
      <c r="BJ607" s="1" t="s">
        <v>1959</v>
      </c>
      <c r="BK607" s="2" t="s">
        <v>3856</v>
      </c>
      <c r="BL607" s="1" t="s">
        <v>1875</v>
      </c>
      <c r="BM607" s="2" t="s">
        <v>3857</v>
      </c>
      <c r="BN607" s="1" t="s">
        <v>1877</v>
      </c>
      <c r="BO607" s="2" t="s">
        <v>3858</v>
      </c>
    </row>
    <row r="608" spans="1:71" ht="126" x14ac:dyDescent="0.45">
      <c r="A608" s="5">
        <v>607</v>
      </c>
      <c r="B608" s="8" t="s">
        <v>404</v>
      </c>
      <c r="C608" s="6" t="s">
        <v>1816</v>
      </c>
      <c r="D608" s="7" t="s">
        <v>9794</v>
      </c>
      <c r="E608" s="6" t="s">
        <v>404</v>
      </c>
      <c r="F608" s="1"/>
      <c r="G608" s="1"/>
      <c r="J608" s="1" t="s">
        <v>9795</v>
      </c>
      <c r="K608" s="2" t="s">
        <v>7950</v>
      </c>
      <c r="L608" s="9" t="s">
        <v>8519</v>
      </c>
      <c r="P608" s="7" t="s">
        <v>1241</v>
      </c>
      <c r="AU608" s="15"/>
      <c r="AV608" s="1" t="s">
        <v>1502</v>
      </c>
      <c r="BG608" s="7" t="s">
        <v>1503</v>
      </c>
      <c r="BH608" s="1" t="s">
        <v>1976</v>
      </c>
      <c r="BI608" s="2" t="s">
        <v>3859</v>
      </c>
      <c r="BJ608" s="1" t="s">
        <v>1872</v>
      </c>
      <c r="BK608" s="1" t="s">
        <v>3860</v>
      </c>
    </row>
    <row r="609" spans="1:71" ht="180" x14ac:dyDescent="0.45">
      <c r="A609" s="5">
        <v>608</v>
      </c>
      <c r="B609" s="8" t="s">
        <v>405</v>
      </c>
      <c r="C609" s="6" t="s">
        <v>1816</v>
      </c>
      <c r="D609" s="7" t="s">
        <v>9794</v>
      </c>
      <c r="E609" s="1" t="s">
        <v>1621</v>
      </c>
      <c r="F609" s="1" t="s">
        <v>9009</v>
      </c>
      <c r="G609" s="1"/>
      <c r="J609" s="1" t="s">
        <v>9795</v>
      </c>
      <c r="K609" s="2"/>
      <c r="L609" s="3" t="s">
        <v>8635</v>
      </c>
      <c r="P609" s="7" t="s">
        <v>1241</v>
      </c>
      <c r="AU609" s="15"/>
      <c r="AV609" s="1" t="s">
        <v>1502</v>
      </c>
      <c r="BG609" s="7" t="s">
        <v>1503</v>
      </c>
      <c r="BH609" s="1" t="s">
        <v>2034</v>
      </c>
      <c r="BI609" s="2" t="s">
        <v>3861</v>
      </c>
      <c r="BJ609" s="1" t="s">
        <v>1959</v>
      </c>
      <c r="BK609" s="2" t="s">
        <v>3862</v>
      </c>
      <c r="BL609" s="1" t="s">
        <v>1875</v>
      </c>
      <c r="BM609" s="2" t="s">
        <v>3863</v>
      </c>
    </row>
    <row r="610" spans="1:71" ht="162" x14ac:dyDescent="0.45">
      <c r="A610" s="5">
        <v>609</v>
      </c>
      <c r="B610" s="8" t="s">
        <v>406</v>
      </c>
      <c r="C610" s="6" t="s">
        <v>1816</v>
      </c>
      <c r="D610" s="7" t="s">
        <v>9794</v>
      </c>
      <c r="E610" s="6" t="s">
        <v>406</v>
      </c>
      <c r="F610" s="1"/>
      <c r="G610" s="1"/>
      <c r="J610" s="1" t="s">
        <v>9795</v>
      </c>
      <c r="K610" s="2" t="s">
        <v>8520</v>
      </c>
      <c r="L610" s="3" t="s">
        <v>8559</v>
      </c>
      <c r="P610" s="7" t="s">
        <v>1241</v>
      </c>
      <c r="AU610" s="15"/>
      <c r="AV610" s="1" t="s">
        <v>1502</v>
      </c>
      <c r="BG610" s="7" t="s">
        <v>1503</v>
      </c>
      <c r="BH610" s="1" t="s">
        <v>2034</v>
      </c>
      <c r="BI610" s="2" t="s">
        <v>8521</v>
      </c>
      <c r="BJ610" s="1" t="s">
        <v>1967</v>
      </c>
      <c r="BK610" s="2" t="s">
        <v>7951</v>
      </c>
      <c r="BL610" s="1" t="s">
        <v>1959</v>
      </c>
      <c r="BM610" s="2" t="s">
        <v>8522</v>
      </c>
      <c r="BN610" s="1" t="s">
        <v>1875</v>
      </c>
      <c r="BO610" s="2" t="s">
        <v>3864</v>
      </c>
      <c r="BP610" s="1" t="s">
        <v>1877</v>
      </c>
      <c r="BQ610" s="2" t="s">
        <v>3865</v>
      </c>
    </row>
    <row r="611" spans="1:71" ht="108" x14ac:dyDescent="0.45">
      <c r="A611" s="5">
        <v>610</v>
      </c>
      <c r="B611" s="8" t="s">
        <v>407</v>
      </c>
      <c r="C611" s="6" t="s">
        <v>1816</v>
      </c>
      <c r="D611" s="7" t="s">
        <v>9794</v>
      </c>
      <c r="E611" s="1" t="s">
        <v>8981</v>
      </c>
      <c r="F611" s="1" t="s">
        <v>5232</v>
      </c>
      <c r="G611" s="1"/>
      <c r="J611" s="1" t="s">
        <v>9795</v>
      </c>
      <c r="K611" s="1" t="s">
        <v>8523</v>
      </c>
      <c r="L611" s="2" t="s">
        <v>8524</v>
      </c>
      <c r="M611" s="1" t="s">
        <v>12249</v>
      </c>
      <c r="P611" s="7" t="s">
        <v>1241</v>
      </c>
      <c r="Q611" s="13"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611" s="13"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S611"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611" s="13"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U611" s="13"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V611" s="13"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AU611" s="15"/>
      <c r="AV611" s="1" t="s">
        <v>1502</v>
      </c>
      <c r="BG611" s="7" t="s">
        <v>1503</v>
      </c>
      <c r="BH611" s="1" t="s">
        <v>1947</v>
      </c>
      <c r="BI611" s="2" t="s">
        <v>3866</v>
      </c>
      <c r="BJ611" s="1" t="s">
        <v>1996</v>
      </c>
      <c r="BK611" s="1" t="s">
        <v>3867</v>
      </c>
      <c r="BL611" s="1" t="s">
        <v>1877</v>
      </c>
      <c r="BM611" s="2" t="s">
        <v>3868</v>
      </c>
    </row>
    <row r="612" spans="1:71" ht="144" x14ac:dyDescent="0.45">
      <c r="A612" s="5">
        <v>611</v>
      </c>
      <c r="B612" s="8" t="s">
        <v>1789</v>
      </c>
      <c r="C612" s="6" t="s">
        <v>1816</v>
      </c>
      <c r="D612" s="7" t="s">
        <v>9794</v>
      </c>
      <c r="E612" s="1" t="s">
        <v>1725</v>
      </c>
      <c r="F612" s="1" t="s">
        <v>1250</v>
      </c>
      <c r="G612" s="1"/>
      <c r="J612" s="1" t="s">
        <v>9795</v>
      </c>
      <c r="K612" s="1" t="s">
        <v>8525</v>
      </c>
      <c r="L612" s="3" t="s">
        <v>8560</v>
      </c>
      <c r="M612" s="1" t="s">
        <v>12169</v>
      </c>
      <c r="P612" s="7" t="s">
        <v>1241</v>
      </c>
      <c r="Q612" s="13"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612" s="13"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612" s="13"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612" s="13"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612" s="13"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V612" s="13"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612" s="13"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612"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612" s="15"/>
      <c r="AV612" s="1" t="s">
        <v>1502</v>
      </c>
      <c r="BG612" s="7" t="s">
        <v>1503</v>
      </c>
      <c r="BH612" s="1" t="s">
        <v>1947</v>
      </c>
      <c r="BI612" s="2" t="s">
        <v>3869</v>
      </c>
      <c r="BJ612" s="1" t="s">
        <v>1959</v>
      </c>
      <c r="BK612" s="1" t="s">
        <v>3870</v>
      </c>
      <c r="BL612" s="1" t="s">
        <v>1875</v>
      </c>
      <c r="BM612" s="2" t="s">
        <v>3871</v>
      </c>
    </row>
    <row r="613" spans="1:71" ht="108" x14ac:dyDescent="0.45">
      <c r="A613" s="5">
        <v>612</v>
      </c>
      <c r="B613" s="8" t="s">
        <v>408</v>
      </c>
      <c r="C613" s="6" t="s">
        <v>1816</v>
      </c>
      <c r="D613" s="7" t="s">
        <v>9794</v>
      </c>
      <c r="E613" s="6" t="s">
        <v>408</v>
      </c>
      <c r="F613" s="1"/>
      <c r="G613" s="1"/>
      <c r="J613" s="1" t="s">
        <v>9795</v>
      </c>
      <c r="K613" s="2"/>
      <c r="L613" s="9" t="s">
        <v>10614</v>
      </c>
      <c r="P613" s="7" t="s">
        <v>1241</v>
      </c>
      <c r="AV613" s="1" t="s">
        <v>1502</v>
      </c>
      <c r="BG613" s="7" t="s">
        <v>1503</v>
      </c>
      <c r="BH613" s="1" t="s">
        <v>3872</v>
      </c>
      <c r="BI613" s="1" t="s">
        <v>3873</v>
      </c>
      <c r="BJ613" s="1" t="s">
        <v>1877</v>
      </c>
      <c r="BK613" s="2" t="s">
        <v>8526</v>
      </c>
    </row>
    <row r="614" spans="1:71" ht="144" x14ac:dyDescent="0.45">
      <c r="A614" s="5">
        <v>613</v>
      </c>
      <c r="B614" s="8" t="s">
        <v>409</v>
      </c>
      <c r="C614" s="6" t="s">
        <v>1816</v>
      </c>
      <c r="D614" s="7" t="s">
        <v>9794</v>
      </c>
      <c r="E614" s="1" t="s">
        <v>1325</v>
      </c>
      <c r="F614" s="1" t="s">
        <v>1790</v>
      </c>
      <c r="G614" s="1"/>
      <c r="J614" s="1" t="s">
        <v>9795</v>
      </c>
      <c r="K614" s="2" t="s">
        <v>8527</v>
      </c>
      <c r="L614" s="3" t="s">
        <v>8561</v>
      </c>
      <c r="P614" s="7" t="s">
        <v>1241</v>
      </c>
      <c r="AU614" s="15"/>
      <c r="AV614" s="1" t="s">
        <v>1502</v>
      </c>
      <c r="BG614" s="7" t="s">
        <v>1503</v>
      </c>
      <c r="BH614" s="1" t="s">
        <v>1947</v>
      </c>
      <c r="BI614" s="2" t="s">
        <v>3874</v>
      </c>
      <c r="BJ614" s="1" t="s">
        <v>1996</v>
      </c>
      <c r="BK614" s="2" t="s">
        <v>3875</v>
      </c>
      <c r="BL614" s="1" t="s">
        <v>1877</v>
      </c>
      <c r="BM614" s="2" t="s">
        <v>3876</v>
      </c>
    </row>
    <row r="615" spans="1:71" ht="180" x14ac:dyDescent="0.45">
      <c r="A615" s="5">
        <v>614</v>
      </c>
      <c r="B615" s="8" t="s">
        <v>410</v>
      </c>
      <c r="C615" s="6" t="s">
        <v>1816</v>
      </c>
      <c r="D615" s="7" t="s">
        <v>9794</v>
      </c>
      <c r="E615" s="6" t="s">
        <v>410</v>
      </c>
      <c r="F615" s="1"/>
      <c r="G615" s="1"/>
      <c r="J615" s="1" t="s">
        <v>9795</v>
      </c>
      <c r="K615" s="2" t="s">
        <v>1791</v>
      </c>
      <c r="L615" s="9" t="s">
        <v>8528</v>
      </c>
      <c r="P615" s="7" t="s">
        <v>1241</v>
      </c>
      <c r="AV615" s="1" t="s">
        <v>1502</v>
      </c>
      <c r="BG615" s="7" t="s">
        <v>1503</v>
      </c>
      <c r="BH615" s="1" t="s">
        <v>1947</v>
      </c>
      <c r="BI615" s="2" t="s">
        <v>8529</v>
      </c>
      <c r="BJ615" s="1" t="s">
        <v>2026</v>
      </c>
      <c r="BK615" s="2" t="s">
        <v>3877</v>
      </c>
      <c r="BL615" s="1" t="s">
        <v>1967</v>
      </c>
      <c r="BM615" s="1" t="s">
        <v>3878</v>
      </c>
      <c r="BN615" s="1" t="s">
        <v>1959</v>
      </c>
      <c r="BO615" s="2" t="s">
        <v>3879</v>
      </c>
      <c r="BP615" s="1" t="s">
        <v>1875</v>
      </c>
      <c r="BQ615" s="2" t="s">
        <v>3880</v>
      </c>
      <c r="BR615" s="1" t="s">
        <v>1877</v>
      </c>
      <c r="BS615" s="2" t="s">
        <v>3881</v>
      </c>
    </row>
    <row r="616" spans="1:71" ht="72" x14ac:dyDescent="0.45">
      <c r="A616" s="5">
        <v>615</v>
      </c>
      <c r="B616" s="8" t="s">
        <v>411</v>
      </c>
      <c r="C616" s="6" t="s">
        <v>1816</v>
      </c>
      <c r="D616" s="7" t="s">
        <v>9794</v>
      </c>
      <c r="E616" s="6" t="s">
        <v>411</v>
      </c>
      <c r="F616" s="1"/>
      <c r="G616" s="1"/>
      <c r="J616" s="1" t="s">
        <v>9795</v>
      </c>
      <c r="K616" s="1" t="s">
        <v>1792</v>
      </c>
      <c r="L616" s="9" t="s">
        <v>8530</v>
      </c>
      <c r="P616" s="7" t="s">
        <v>1241</v>
      </c>
      <c r="AV616" s="1" t="s">
        <v>1502</v>
      </c>
      <c r="BG616" s="7" t="s">
        <v>1503</v>
      </c>
      <c r="BH616" s="1" t="s">
        <v>1872</v>
      </c>
      <c r="BI616" s="1" t="s">
        <v>3882</v>
      </c>
      <c r="BJ616" s="1" t="s">
        <v>1875</v>
      </c>
      <c r="BK616" s="2" t="s">
        <v>3883</v>
      </c>
    </row>
    <row r="617" spans="1:71" ht="144" x14ac:dyDescent="0.45">
      <c r="A617" s="5">
        <v>616</v>
      </c>
      <c r="B617" s="8" t="s">
        <v>412</v>
      </c>
      <c r="C617" s="6" t="s">
        <v>1816</v>
      </c>
      <c r="D617" s="7" t="s">
        <v>9794</v>
      </c>
      <c r="E617" s="1" t="s">
        <v>27</v>
      </c>
      <c r="F617" s="1" t="s">
        <v>1793</v>
      </c>
      <c r="G617" s="1"/>
      <c r="J617" s="1" t="s">
        <v>9795</v>
      </c>
      <c r="K617" s="2"/>
      <c r="L617" s="3" t="s">
        <v>8562</v>
      </c>
      <c r="P617" s="7" t="s">
        <v>1241</v>
      </c>
      <c r="AU617" s="15"/>
      <c r="AV617" s="1" t="s">
        <v>1502</v>
      </c>
      <c r="BG617" s="7" t="s">
        <v>1503</v>
      </c>
      <c r="BH617" s="1" t="s">
        <v>1947</v>
      </c>
      <c r="BI617" s="2" t="s">
        <v>3884</v>
      </c>
      <c r="BJ617" s="1" t="s">
        <v>1875</v>
      </c>
      <c r="BK617" s="2" t="s">
        <v>3885</v>
      </c>
      <c r="BL617" s="1" t="s">
        <v>1877</v>
      </c>
      <c r="BM617" s="2" t="s">
        <v>3886</v>
      </c>
    </row>
    <row r="618" spans="1:71" ht="126" x14ac:dyDescent="0.45">
      <c r="A618" s="5">
        <v>617</v>
      </c>
      <c r="B618" s="8" t="s">
        <v>3887</v>
      </c>
      <c r="C618" s="6" t="s">
        <v>1816</v>
      </c>
      <c r="D618" s="7" t="s">
        <v>9794</v>
      </c>
      <c r="E618" s="1" t="s">
        <v>1251</v>
      </c>
      <c r="F618" s="1" t="s">
        <v>1398</v>
      </c>
      <c r="G618" s="1"/>
      <c r="J618" s="1" t="s">
        <v>9795</v>
      </c>
      <c r="K618" s="1" t="s">
        <v>8531</v>
      </c>
      <c r="L618" s="3" t="s">
        <v>8563</v>
      </c>
      <c r="M618" s="1" t="s">
        <v>12230</v>
      </c>
      <c r="P618" s="7" t="s">
        <v>1241</v>
      </c>
      <c r="Q618" s="13" t="str">
        <f>INDEX($L:$L, MATCH("observe", $B:$B, 0))</f>
        <v>&lt;span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v>
      </c>
      <c r="R618" s="13"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S618" s="13"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AU618" s="15"/>
      <c r="AV618" s="1" t="s">
        <v>1502</v>
      </c>
      <c r="BG618" s="7" t="s">
        <v>1503</v>
      </c>
      <c r="BH618" s="1" t="s">
        <v>1947</v>
      </c>
      <c r="BI618" s="2" t="s">
        <v>8532</v>
      </c>
      <c r="BJ618" s="1" t="s">
        <v>1959</v>
      </c>
      <c r="BK618" s="2" t="s">
        <v>3888</v>
      </c>
      <c r="BL618" s="1" t="s">
        <v>1875</v>
      </c>
      <c r="BM618" s="2" t="s">
        <v>3889</v>
      </c>
      <c r="BN618" s="1" t="s">
        <v>3497</v>
      </c>
      <c r="BO618" s="2" t="s">
        <v>3890</v>
      </c>
    </row>
    <row r="619" spans="1:71" ht="144" x14ac:dyDescent="0.45">
      <c r="A619" s="5">
        <v>618</v>
      </c>
      <c r="B619" s="8" t="s">
        <v>3839</v>
      </c>
      <c r="C619" s="6" t="s">
        <v>1816</v>
      </c>
      <c r="D619" s="7" t="s">
        <v>9794</v>
      </c>
      <c r="E619" s="1" t="s">
        <v>9010</v>
      </c>
      <c r="F619" s="1"/>
      <c r="G619" s="1"/>
      <c r="J619" s="1" t="s">
        <v>9795</v>
      </c>
      <c r="L619" s="2" t="s">
        <v>8533</v>
      </c>
      <c r="M619" s="1" t="s">
        <v>12208</v>
      </c>
      <c r="P619" s="7" t="s">
        <v>1241</v>
      </c>
      <c r="Q619" s="13"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619" s="13"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S619" s="13"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T619"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U619" s="13"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619" s="13"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U619" s="15"/>
      <c r="AV619" s="1" t="s">
        <v>1502</v>
      </c>
      <c r="BG619" s="7" t="s">
        <v>1503</v>
      </c>
      <c r="BH619" s="1" t="s">
        <v>1947</v>
      </c>
      <c r="BI619" s="2" t="s">
        <v>3891</v>
      </c>
      <c r="BJ619" s="1" t="s">
        <v>2026</v>
      </c>
      <c r="BK619" s="2" t="s">
        <v>3892</v>
      </c>
      <c r="BL619" s="1" t="s">
        <v>1959</v>
      </c>
      <c r="BM619" s="2" t="s">
        <v>3893</v>
      </c>
      <c r="BN619" s="1" t="s">
        <v>1875</v>
      </c>
      <c r="BO619" s="2" t="s">
        <v>3894</v>
      </c>
      <c r="BP619" s="1" t="s">
        <v>1877</v>
      </c>
      <c r="BQ619" s="2" t="s">
        <v>3895</v>
      </c>
    </row>
    <row r="620" spans="1:71" ht="180" x14ac:dyDescent="0.45">
      <c r="A620" s="5">
        <v>619</v>
      </c>
      <c r="B620" s="8" t="s">
        <v>413</v>
      </c>
      <c r="C620" s="6" t="s">
        <v>1816</v>
      </c>
      <c r="D620" s="7" t="s">
        <v>9794</v>
      </c>
      <c r="E620" s="6" t="s">
        <v>1922</v>
      </c>
      <c r="F620" s="1" t="s">
        <v>1818</v>
      </c>
      <c r="G620" s="1"/>
      <c r="J620" s="1" t="s">
        <v>9795</v>
      </c>
      <c r="K620" s="2" t="s">
        <v>8534</v>
      </c>
      <c r="L620" s="9" t="s">
        <v>8535</v>
      </c>
      <c r="P620" s="7" t="s">
        <v>1241</v>
      </c>
      <c r="AU620" s="15"/>
      <c r="AV620" s="1" t="s">
        <v>1502</v>
      </c>
      <c r="BG620" s="7" t="s">
        <v>1503</v>
      </c>
      <c r="BH620" s="1" t="s">
        <v>1976</v>
      </c>
      <c r="BI620" s="2" t="s">
        <v>3896</v>
      </c>
      <c r="BJ620" s="1" t="s">
        <v>1947</v>
      </c>
      <c r="BK620" s="2" t="s">
        <v>3897</v>
      </c>
      <c r="BL620" s="1" t="s">
        <v>1877</v>
      </c>
      <c r="BM620" s="2" t="s">
        <v>3898</v>
      </c>
    </row>
    <row r="621" spans="1:71" ht="126" x14ac:dyDescent="0.45">
      <c r="A621" s="5">
        <v>620</v>
      </c>
      <c r="B621" s="8" t="s">
        <v>3899</v>
      </c>
      <c r="C621" s="6" t="s">
        <v>1816</v>
      </c>
      <c r="D621" s="7" t="s">
        <v>9794</v>
      </c>
      <c r="E621" s="1" t="s">
        <v>1459</v>
      </c>
      <c r="F621" s="1" t="s">
        <v>6149</v>
      </c>
      <c r="G621" s="1"/>
      <c r="J621" s="1" t="s">
        <v>9795</v>
      </c>
      <c r="K621" s="2" t="s">
        <v>8536</v>
      </c>
      <c r="L621" s="2" t="s">
        <v>8537</v>
      </c>
      <c r="M621" s="1" t="s">
        <v>12187</v>
      </c>
      <c r="P621" s="7" t="s">
        <v>1241</v>
      </c>
      <c r="Q621" s="13"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621" s="13"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621" s="13"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T621" s="13"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U621" s="13"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621" s="13"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621"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621" s="15"/>
      <c r="AV621" s="1" t="s">
        <v>1502</v>
      </c>
      <c r="BG621" s="7" t="s">
        <v>1503</v>
      </c>
      <c r="BH621" s="1" t="s">
        <v>1947</v>
      </c>
      <c r="BI621" s="2" t="s">
        <v>3900</v>
      </c>
      <c r="BJ621" s="1" t="s">
        <v>2026</v>
      </c>
      <c r="BK621" s="1" t="s">
        <v>3901</v>
      </c>
      <c r="BL621" s="1" t="s">
        <v>1959</v>
      </c>
      <c r="BM621" s="2" t="s">
        <v>3902</v>
      </c>
      <c r="BN621" s="1" t="s">
        <v>1875</v>
      </c>
      <c r="BO621" s="2" t="s">
        <v>3903</v>
      </c>
      <c r="BP621" s="1" t="s">
        <v>1877</v>
      </c>
      <c r="BQ621" s="2" t="s">
        <v>8538</v>
      </c>
    </row>
    <row r="622" spans="1:71" ht="144" x14ac:dyDescent="0.45">
      <c r="A622" s="5">
        <v>621</v>
      </c>
      <c r="B622" s="8" t="s">
        <v>3904</v>
      </c>
      <c r="C622" s="6" t="s">
        <v>1816</v>
      </c>
      <c r="D622" s="7" t="s">
        <v>9794</v>
      </c>
      <c r="E622" s="1" t="s">
        <v>46</v>
      </c>
      <c r="F622" s="1" t="s">
        <v>1389</v>
      </c>
      <c r="G622" s="1"/>
      <c r="J622" s="1" t="s">
        <v>9795</v>
      </c>
      <c r="K622" s="3" t="s">
        <v>8632</v>
      </c>
      <c r="L622" s="2" t="s">
        <v>8539</v>
      </c>
      <c r="M622" s="1" t="s">
        <v>12242</v>
      </c>
      <c r="P622" s="7" t="s">
        <v>1241</v>
      </c>
      <c r="Q622" s="13"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622" s="13"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S622" s="13" t="str">
        <f>INDEX($L:$L, MATCH("via", $B:$B, 0))</f>
        <v>&lt;span class="w"&gt;&lt;b&gt;【800.via：〜経由で】&lt;/b&gt;&lt;/span&gt;
&lt;span class="ml"&gt;ラテン語via（道, 〜経由で）に由来する。
&lt;span class="spacer"&gt;&lt;/span&gt;ラテン語から意味の変化はほとんどなく「〜経由で」という意味になる。&lt;/span&gt;</v>
      </c>
      <c r="T622" s="13"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AU622" s="15"/>
      <c r="AV622" s="1" t="s">
        <v>1502</v>
      </c>
      <c r="BG622" s="7" t="s">
        <v>1503</v>
      </c>
      <c r="BH622" s="1" t="s">
        <v>1947</v>
      </c>
      <c r="BI622" s="2" t="s">
        <v>3905</v>
      </c>
      <c r="BJ622" s="1" t="s">
        <v>2026</v>
      </c>
      <c r="BK622" s="2" t="s">
        <v>3906</v>
      </c>
      <c r="BL622" s="1" t="s">
        <v>1959</v>
      </c>
      <c r="BM622" s="1" t="s">
        <v>3907</v>
      </c>
      <c r="BN622" s="1" t="s">
        <v>2114</v>
      </c>
      <c r="BO622" s="1" t="s">
        <v>3908</v>
      </c>
      <c r="BP622" s="1" t="s">
        <v>1875</v>
      </c>
      <c r="BQ622" s="2" t="s">
        <v>3909</v>
      </c>
    </row>
    <row r="623" spans="1:71" ht="144" x14ac:dyDescent="0.45">
      <c r="A623" s="5">
        <v>622</v>
      </c>
      <c r="B623" s="8" t="s">
        <v>414</v>
      </c>
      <c r="C623" s="6" t="s">
        <v>1816</v>
      </c>
      <c r="D623" s="7" t="s">
        <v>9794</v>
      </c>
      <c r="E623" s="1" t="s">
        <v>1395</v>
      </c>
      <c r="F623" s="1" t="s">
        <v>1794</v>
      </c>
      <c r="G623" s="1"/>
      <c r="J623" s="1" t="s">
        <v>9795</v>
      </c>
      <c r="K623" s="2" t="s">
        <v>8540</v>
      </c>
      <c r="L623" s="9" t="s">
        <v>9251</v>
      </c>
      <c r="P623" s="7" t="s">
        <v>1241</v>
      </c>
      <c r="AU623" s="15"/>
      <c r="AV623" s="1" t="s">
        <v>1502</v>
      </c>
      <c r="BG623" s="7" t="s">
        <v>1503</v>
      </c>
      <c r="BH623" s="1" t="s">
        <v>1976</v>
      </c>
      <c r="BI623" s="2" t="s">
        <v>3910</v>
      </c>
      <c r="BJ623" s="1" t="s">
        <v>1959</v>
      </c>
      <c r="BK623" s="2" t="s">
        <v>3911</v>
      </c>
      <c r="BL623" s="1" t="s">
        <v>1875</v>
      </c>
      <c r="BM623" s="2" t="s">
        <v>3912</v>
      </c>
    </row>
    <row r="624" spans="1:71" ht="90" x14ac:dyDescent="0.45">
      <c r="A624" s="5">
        <v>623</v>
      </c>
      <c r="B624" s="8" t="s">
        <v>415</v>
      </c>
      <c r="C624" s="6" t="s">
        <v>1816</v>
      </c>
      <c r="D624" s="7" t="s">
        <v>9794</v>
      </c>
      <c r="E624" s="6" t="s">
        <v>415</v>
      </c>
      <c r="F624" s="1"/>
      <c r="G624" s="1"/>
      <c r="J624" s="1" t="s">
        <v>9795</v>
      </c>
      <c r="K624" s="2" t="s">
        <v>1795</v>
      </c>
      <c r="L624" s="9" t="s">
        <v>8541</v>
      </c>
      <c r="P624" s="7" t="s">
        <v>1241</v>
      </c>
      <c r="AV624" s="1" t="s">
        <v>1502</v>
      </c>
      <c r="BG624" s="7" t="s">
        <v>1503</v>
      </c>
      <c r="BH624" s="1" t="s">
        <v>1872</v>
      </c>
      <c r="BI624" s="1" t="s">
        <v>3913</v>
      </c>
      <c r="BJ624" s="1" t="s">
        <v>1875</v>
      </c>
      <c r="BK624" s="2" t="s">
        <v>3914</v>
      </c>
    </row>
    <row r="625" spans="1:73" ht="162" x14ac:dyDescent="0.45">
      <c r="A625" s="5">
        <v>624</v>
      </c>
      <c r="B625" s="8" t="s">
        <v>416</v>
      </c>
      <c r="C625" s="6" t="s">
        <v>1816</v>
      </c>
      <c r="D625" s="7" t="s">
        <v>9794</v>
      </c>
      <c r="E625" s="6" t="s">
        <v>416</v>
      </c>
      <c r="F625" s="1"/>
      <c r="G625" s="1"/>
      <c r="J625" s="1" t="s">
        <v>9795</v>
      </c>
      <c r="K625" s="2" t="s">
        <v>8542</v>
      </c>
      <c r="L625" s="9" t="s">
        <v>8543</v>
      </c>
      <c r="P625" s="7" t="s">
        <v>1241</v>
      </c>
      <c r="Q625"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625"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625"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625"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625"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625"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625"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625"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625"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625"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625"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625"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625"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D625"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E625"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U625" s="15"/>
      <c r="AV625" s="1" t="s">
        <v>1502</v>
      </c>
      <c r="BG625" s="7" t="s">
        <v>1503</v>
      </c>
      <c r="BH625" s="1" t="s">
        <v>2036</v>
      </c>
      <c r="BI625" s="1" t="s">
        <v>8544</v>
      </c>
      <c r="BJ625" s="1" t="s">
        <v>1959</v>
      </c>
      <c r="BK625" s="1" t="s">
        <v>8545</v>
      </c>
      <c r="BL625" s="1" t="s">
        <v>1996</v>
      </c>
      <c r="BM625" s="1" t="s">
        <v>8546</v>
      </c>
      <c r="BN625" s="1" t="s">
        <v>1877</v>
      </c>
      <c r="BO625" s="2" t="s">
        <v>8547</v>
      </c>
    </row>
    <row r="626" spans="1:73" ht="162" x14ac:dyDescent="0.45">
      <c r="A626" s="5">
        <v>625</v>
      </c>
      <c r="B626" s="8" t="s">
        <v>417</v>
      </c>
      <c r="C626" s="6" t="s">
        <v>1816</v>
      </c>
      <c r="D626" s="7" t="s">
        <v>9794</v>
      </c>
      <c r="E626" s="1" t="s">
        <v>1505</v>
      </c>
      <c r="F626" s="1" t="s">
        <v>1796</v>
      </c>
      <c r="G626" s="1"/>
      <c r="J626" s="1" t="s">
        <v>9795</v>
      </c>
      <c r="K626" s="2" t="s">
        <v>8548</v>
      </c>
      <c r="L626" s="9" t="s">
        <v>8549</v>
      </c>
      <c r="P626" s="7" t="s">
        <v>1241</v>
      </c>
      <c r="AU626" s="15"/>
      <c r="AV626" s="1" t="s">
        <v>1502</v>
      </c>
      <c r="BG626" s="7" t="s">
        <v>1503</v>
      </c>
      <c r="BH626" s="1" t="s">
        <v>1947</v>
      </c>
      <c r="BI626" s="2" t="s">
        <v>3915</v>
      </c>
      <c r="BJ626" s="1" t="s">
        <v>1959</v>
      </c>
      <c r="BK626" s="2" t="s">
        <v>3916</v>
      </c>
      <c r="BL626" s="1" t="s">
        <v>1875</v>
      </c>
      <c r="BM626" s="2" t="s">
        <v>3917</v>
      </c>
    </row>
    <row r="627" spans="1:73" ht="108" x14ac:dyDescent="0.45">
      <c r="A627" s="5">
        <v>626</v>
      </c>
      <c r="B627" s="8" t="s">
        <v>418</v>
      </c>
      <c r="C627" s="6" t="s">
        <v>1816</v>
      </c>
      <c r="D627" s="7" t="s">
        <v>9794</v>
      </c>
      <c r="E627" s="6" t="s">
        <v>418</v>
      </c>
      <c r="F627" s="1"/>
      <c r="G627" s="1"/>
      <c r="J627" s="1" t="s">
        <v>9795</v>
      </c>
      <c r="K627" s="2" t="s">
        <v>8550</v>
      </c>
      <c r="L627" s="9" t="s">
        <v>8551</v>
      </c>
      <c r="P627" s="7" t="s">
        <v>1241</v>
      </c>
      <c r="AU627" s="15"/>
      <c r="AV627" s="1" t="s">
        <v>1502</v>
      </c>
      <c r="BG627" s="7" t="s">
        <v>1503</v>
      </c>
      <c r="BH627" s="1" t="s">
        <v>1875</v>
      </c>
      <c r="BI627" s="2" t="s">
        <v>3918</v>
      </c>
      <c r="BJ627" s="1" t="s">
        <v>3497</v>
      </c>
      <c r="BK627" s="2" t="s">
        <v>3919</v>
      </c>
    </row>
    <row r="628" spans="1:73" ht="144" x14ac:dyDescent="0.45">
      <c r="A628" s="5">
        <v>627</v>
      </c>
      <c r="B628" s="8" t="s">
        <v>419</v>
      </c>
      <c r="C628" s="6" t="s">
        <v>1816</v>
      </c>
      <c r="D628" s="7" t="s">
        <v>9794</v>
      </c>
      <c r="E628" s="6" t="s">
        <v>419</v>
      </c>
      <c r="F628" s="1"/>
      <c r="G628" s="1"/>
      <c r="J628" s="1" t="s">
        <v>9795</v>
      </c>
      <c r="K628" s="2"/>
      <c r="L628" s="9" t="s">
        <v>8552</v>
      </c>
      <c r="P628" s="7" t="s">
        <v>1241</v>
      </c>
      <c r="AV628" s="1" t="s">
        <v>1502</v>
      </c>
      <c r="BG628" s="7" t="s">
        <v>1503</v>
      </c>
      <c r="BH628" s="1" t="s">
        <v>2458</v>
      </c>
      <c r="BI628" s="1" t="s">
        <v>3920</v>
      </c>
      <c r="BJ628" s="1" t="s">
        <v>1947</v>
      </c>
      <c r="BK628" s="1" t="s">
        <v>3921</v>
      </c>
      <c r="BL628" s="1" t="s">
        <v>2026</v>
      </c>
      <c r="BM628" s="1" t="s">
        <v>3922</v>
      </c>
      <c r="BN628" s="1" t="s">
        <v>1967</v>
      </c>
      <c r="BO628" s="1" t="s">
        <v>3923</v>
      </c>
      <c r="BP628" s="1" t="s">
        <v>1959</v>
      </c>
      <c r="BQ628" s="2" t="s">
        <v>3924</v>
      </c>
      <c r="BR628" s="1" t="s">
        <v>1875</v>
      </c>
      <c r="BS628" s="2" t="s">
        <v>3925</v>
      </c>
      <c r="BT628" s="1" t="s">
        <v>1877</v>
      </c>
      <c r="BU628" s="2" t="s">
        <v>8553</v>
      </c>
    </row>
    <row r="629" spans="1:73" ht="126" x14ac:dyDescent="0.45">
      <c r="A629" s="5">
        <v>628</v>
      </c>
      <c r="B629" s="8" t="s">
        <v>3926</v>
      </c>
      <c r="C629" s="6" t="s">
        <v>1816</v>
      </c>
      <c r="D629" s="7" t="s">
        <v>9794</v>
      </c>
      <c r="E629" s="1" t="s">
        <v>1325</v>
      </c>
      <c r="F629" s="1" t="s">
        <v>1614</v>
      </c>
      <c r="G629" s="1"/>
      <c r="J629" s="1" t="s">
        <v>9795</v>
      </c>
      <c r="K629" s="1" t="s">
        <v>7947</v>
      </c>
      <c r="L629" s="3" t="s">
        <v>8564</v>
      </c>
      <c r="M629" s="1" t="s">
        <v>12257</v>
      </c>
      <c r="P629" s="7" t="s">
        <v>1241</v>
      </c>
      <c r="Q629" s="13"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629" s="13"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S629" s="13"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T629" s="13"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U629" s="13"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AU629" s="15"/>
      <c r="AV629" s="1" t="s">
        <v>1502</v>
      </c>
      <c r="BG629" s="7" t="s">
        <v>1503</v>
      </c>
      <c r="BH629" s="1" t="s">
        <v>1947</v>
      </c>
      <c r="BI629" s="2" t="s">
        <v>3927</v>
      </c>
      <c r="BJ629" s="1" t="s">
        <v>1959</v>
      </c>
      <c r="BK629" s="1" t="s">
        <v>3928</v>
      </c>
      <c r="BL629" s="1" t="s">
        <v>1875</v>
      </c>
      <c r="BM629" s="2" t="s">
        <v>3929</v>
      </c>
    </row>
    <row r="630" spans="1:73" ht="162" x14ac:dyDescent="0.45">
      <c r="A630" s="5">
        <v>629</v>
      </c>
      <c r="B630" s="8" t="s">
        <v>3930</v>
      </c>
      <c r="C630" s="6" t="s">
        <v>1816</v>
      </c>
      <c r="D630" s="7" t="s">
        <v>9794</v>
      </c>
      <c r="E630" s="1" t="s">
        <v>29</v>
      </c>
      <c r="F630" s="1" t="s">
        <v>1751</v>
      </c>
      <c r="G630" s="1"/>
      <c r="J630" s="1" t="s">
        <v>9795</v>
      </c>
      <c r="K630" s="1" t="s">
        <v>8554</v>
      </c>
      <c r="L630" s="3" t="s">
        <v>8565</v>
      </c>
      <c r="M630" s="1" t="s">
        <v>12205</v>
      </c>
      <c r="P630" s="7" t="s">
        <v>1241</v>
      </c>
      <c r="Q630" s="13"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R630" s="13"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S630" s="13"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AU630" s="15"/>
      <c r="AV630" s="1" t="s">
        <v>1502</v>
      </c>
      <c r="BG630" s="7" t="s">
        <v>1503</v>
      </c>
      <c r="BH630" s="1" t="s">
        <v>1947</v>
      </c>
      <c r="BI630" s="2" t="s">
        <v>3931</v>
      </c>
      <c r="BJ630" s="1" t="s">
        <v>1959</v>
      </c>
      <c r="BK630" s="1" t="s">
        <v>3932</v>
      </c>
      <c r="BL630" s="1" t="s">
        <v>1875</v>
      </c>
      <c r="BM630" s="2" t="s">
        <v>3933</v>
      </c>
    </row>
    <row r="631" spans="1:73" ht="126" x14ac:dyDescent="0.45">
      <c r="A631" s="5">
        <v>630</v>
      </c>
      <c r="B631" s="8" t="s">
        <v>3934</v>
      </c>
      <c r="C631" s="6" t="s">
        <v>1816</v>
      </c>
      <c r="D631" s="7" t="s">
        <v>9794</v>
      </c>
      <c r="E631" s="1" t="s">
        <v>8971</v>
      </c>
      <c r="F631" s="1" t="s">
        <v>4769</v>
      </c>
      <c r="G631" s="1"/>
      <c r="J631" s="1" t="s">
        <v>9795</v>
      </c>
      <c r="K631" s="2" t="s">
        <v>8566</v>
      </c>
      <c r="L631" s="3" t="s">
        <v>8567</v>
      </c>
      <c r="M631" s="1" t="s">
        <v>12189</v>
      </c>
      <c r="P631" s="7" t="s">
        <v>1241</v>
      </c>
      <c r="Q631"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631"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631" s="13"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T631"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U631"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V631"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631" s="13"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631"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631" s="13"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631"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631" s="15"/>
      <c r="AV631" s="1" t="s">
        <v>1502</v>
      </c>
      <c r="BG631" s="7" t="s">
        <v>1503</v>
      </c>
      <c r="BH631" s="1" t="s">
        <v>1947</v>
      </c>
      <c r="BI631" s="2" t="s">
        <v>3935</v>
      </c>
      <c r="BJ631" s="1" t="s">
        <v>1959</v>
      </c>
      <c r="BK631" s="2" t="s">
        <v>3936</v>
      </c>
      <c r="BL631" s="1" t="s">
        <v>1875</v>
      </c>
      <c r="BM631" s="2" t="s">
        <v>3937</v>
      </c>
    </row>
    <row r="632" spans="1:73" ht="180" x14ac:dyDescent="0.45">
      <c r="A632" s="5">
        <v>631</v>
      </c>
      <c r="B632" s="8" t="s">
        <v>420</v>
      </c>
      <c r="C632" s="6" t="s">
        <v>1816</v>
      </c>
      <c r="D632" s="7" t="s">
        <v>9794</v>
      </c>
      <c r="E632" s="1" t="s">
        <v>1797</v>
      </c>
      <c r="F632" s="1" t="s">
        <v>1798</v>
      </c>
      <c r="G632" s="1"/>
      <c r="J632" s="1" t="s">
        <v>9795</v>
      </c>
      <c r="K632" s="2"/>
      <c r="L632" s="3" t="s">
        <v>8636</v>
      </c>
      <c r="P632" s="7" t="s">
        <v>1241</v>
      </c>
      <c r="AU632" s="15"/>
      <c r="AV632" s="1" t="s">
        <v>1502</v>
      </c>
      <c r="BG632" s="7" t="s">
        <v>1503</v>
      </c>
      <c r="BH632" s="1" t="s">
        <v>1875</v>
      </c>
      <c r="BI632" s="2" t="s">
        <v>3938</v>
      </c>
      <c r="BJ632" s="1" t="s">
        <v>1877</v>
      </c>
      <c r="BK632" s="2" t="s">
        <v>3939</v>
      </c>
    </row>
    <row r="633" spans="1:73" ht="108" x14ac:dyDescent="0.45">
      <c r="A633" s="5">
        <v>632</v>
      </c>
      <c r="B633" s="8" t="s">
        <v>3940</v>
      </c>
      <c r="C633" s="6" t="s">
        <v>1816</v>
      </c>
      <c r="D633" s="7" t="s">
        <v>9794</v>
      </c>
      <c r="E633" s="1" t="s">
        <v>9011</v>
      </c>
      <c r="F633" s="1" t="s">
        <v>1447</v>
      </c>
      <c r="G633" s="1"/>
      <c r="J633" s="1" t="s">
        <v>9795</v>
      </c>
      <c r="K633" s="2"/>
      <c r="L633" s="2" t="s">
        <v>8568</v>
      </c>
      <c r="P633" s="7" t="s">
        <v>1241</v>
      </c>
      <c r="AV633" s="1" t="s">
        <v>1502</v>
      </c>
      <c r="BG633" s="7" t="s">
        <v>1503</v>
      </c>
      <c r="BH633" s="1" t="s">
        <v>1872</v>
      </c>
      <c r="BI633" s="1" t="s">
        <v>3941</v>
      </c>
      <c r="BJ633" s="1" t="s">
        <v>1877</v>
      </c>
      <c r="BK633" s="2" t="s">
        <v>3942</v>
      </c>
    </row>
    <row r="634" spans="1:73" ht="126" x14ac:dyDescent="0.45">
      <c r="A634" s="5">
        <v>633</v>
      </c>
      <c r="B634" s="8" t="s">
        <v>3943</v>
      </c>
      <c r="C634" s="6" t="s">
        <v>1816</v>
      </c>
      <c r="D634" s="7" t="s">
        <v>9794</v>
      </c>
      <c r="E634" s="1" t="s">
        <v>29</v>
      </c>
      <c r="F634" s="1" t="s">
        <v>1726</v>
      </c>
      <c r="G634" s="1"/>
      <c r="J634" s="1" t="s">
        <v>9795</v>
      </c>
      <c r="K634" s="2" t="s">
        <v>8569</v>
      </c>
      <c r="L634" s="2" t="s">
        <v>8570</v>
      </c>
      <c r="M634" s="1" t="s">
        <v>12215</v>
      </c>
      <c r="P634" s="7" t="s">
        <v>1241</v>
      </c>
      <c r="Q634" s="13"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R634" s="13"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S634" s="13"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AU634" s="15"/>
      <c r="AV634" s="1" t="s">
        <v>1502</v>
      </c>
      <c r="BG634" s="7" t="s">
        <v>1503</v>
      </c>
      <c r="BH634" s="1" t="s">
        <v>1947</v>
      </c>
      <c r="BI634" s="2" t="s">
        <v>3944</v>
      </c>
      <c r="BJ634" s="1" t="s">
        <v>1875</v>
      </c>
      <c r="BK634" s="2" t="s">
        <v>3945</v>
      </c>
      <c r="BL634" s="1" t="s">
        <v>1877</v>
      </c>
      <c r="BM634" s="2" t="s">
        <v>3946</v>
      </c>
    </row>
    <row r="635" spans="1:73" ht="108" x14ac:dyDescent="0.45">
      <c r="A635" s="5">
        <v>634</v>
      </c>
      <c r="B635" s="8" t="s">
        <v>3947</v>
      </c>
      <c r="C635" s="6" t="s">
        <v>1816</v>
      </c>
      <c r="D635" s="7" t="s">
        <v>9794</v>
      </c>
      <c r="E635" s="1" t="s">
        <v>1413</v>
      </c>
      <c r="F635" s="1" t="s">
        <v>1726</v>
      </c>
      <c r="G635" s="1"/>
      <c r="J635" s="1" t="s">
        <v>9795</v>
      </c>
      <c r="K635" s="2" t="s">
        <v>8571</v>
      </c>
      <c r="L635" s="2" t="s">
        <v>8572</v>
      </c>
      <c r="M635" s="1" t="s">
        <v>12215</v>
      </c>
      <c r="P635" s="7" t="s">
        <v>1241</v>
      </c>
      <c r="Q635" s="13"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R635" s="13"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S635" s="13"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AU635" s="15"/>
      <c r="AV635" s="1" t="s">
        <v>1502</v>
      </c>
      <c r="BG635" s="7" t="s">
        <v>1503</v>
      </c>
      <c r="BH635" s="1" t="s">
        <v>1947</v>
      </c>
      <c r="BI635" s="2" t="s">
        <v>3948</v>
      </c>
      <c r="BJ635" s="1" t="s">
        <v>1877</v>
      </c>
      <c r="BK635" s="2" t="s">
        <v>3949</v>
      </c>
    </row>
    <row r="636" spans="1:73" ht="126" x14ac:dyDescent="0.45">
      <c r="A636" s="5">
        <v>635</v>
      </c>
      <c r="B636" s="8" t="s">
        <v>421</v>
      </c>
      <c r="C636" s="6" t="s">
        <v>1816</v>
      </c>
      <c r="D636" s="7" t="s">
        <v>9794</v>
      </c>
      <c r="E636" s="1" t="s">
        <v>27</v>
      </c>
      <c r="F636" s="1" t="s">
        <v>1923</v>
      </c>
      <c r="G636" s="1" t="s">
        <v>1818</v>
      </c>
      <c r="J636" s="1" t="s">
        <v>9795</v>
      </c>
      <c r="K636" s="2"/>
      <c r="L636" s="3" t="s">
        <v>8637</v>
      </c>
      <c r="P636" s="7" t="s">
        <v>1241</v>
      </c>
      <c r="AU636" s="15"/>
      <c r="AV636" s="1" t="s">
        <v>1502</v>
      </c>
      <c r="BG636" s="7" t="s">
        <v>1503</v>
      </c>
      <c r="BH636" s="1" t="s">
        <v>1947</v>
      </c>
      <c r="BI636" s="2" t="s">
        <v>3950</v>
      </c>
      <c r="BJ636" s="1" t="s">
        <v>1877</v>
      </c>
      <c r="BK636" s="2" t="s">
        <v>3951</v>
      </c>
    </row>
    <row r="637" spans="1:73" ht="126" x14ac:dyDescent="0.45">
      <c r="A637" s="5">
        <v>636</v>
      </c>
      <c r="B637" s="8" t="s">
        <v>422</v>
      </c>
      <c r="C637" s="6" t="s">
        <v>1816</v>
      </c>
      <c r="D637" s="7" t="s">
        <v>9794</v>
      </c>
      <c r="E637" s="1" t="s">
        <v>1799</v>
      </c>
      <c r="F637" s="1" t="s">
        <v>1800</v>
      </c>
      <c r="G637" s="1"/>
      <c r="J637" s="1" t="s">
        <v>9795</v>
      </c>
      <c r="K637" s="2" t="s">
        <v>1801</v>
      </c>
      <c r="L637" s="9" t="s">
        <v>8573</v>
      </c>
      <c r="M637" s="1" t="s">
        <v>12210</v>
      </c>
      <c r="P637" s="7" t="s">
        <v>1241</v>
      </c>
      <c r="Q637" s="13"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637" s="13"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637" s="13"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T637"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U637" s="13"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637"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U637" s="15"/>
      <c r="AV637" s="1" t="s">
        <v>1502</v>
      </c>
      <c r="BG637" s="7" t="s">
        <v>1503</v>
      </c>
      <c r="BH637" s="1" t="s">
        <v>1947</v>
      </c>
      <c r="BI637" s="2" t="s">
        <v>3952</v>
      </c>
      <c r="BJ637" s="1" t="s">
        <v>1877</v>
      </c>
      <c r="BK637" s="2" t="s">
        <v>3953</v>
      </c>
      <c r="BL637" s="1" t="s">
        <v>3497</v>
      </c>
      <c r="BM637" s="2" t="s">
        <v>8574</v>
      </c>
    </row>
    <row r="638" spans="1:73" ht="216" x14ac:dyDescent="0.45">
      <c r="A638" s="5">
        <v>637</v>
      </c>
      <c r="B638" s="8" t="s">
        <v>423</v>
      </c>
      <c r="C638" s="6" t="s">
        <v>1816</v>
      </c>
      <c r="D638" s="7" t="s">
        <v>9794</v>
      </c>
      <c r="E638" s="6" t="s">
        <v>9012</v>
      </c>
      <c r="F638" s="1" t="s">
        <v>8914</v>
      </c>
      <c r="G638" s="1" t="s">
        <v>1818</v>
      </c>
      <c r="J638" s="1" t="s">
        <v>9795</v>
      </c>
      <c r="K638" s="2" t="s">
        <v>8575</v>
      </c>
      <c r="L638" s="3" t="s">
        <v>8638</v>
      </c>
      <c r="P638" s="7" t="s">
        <v>1241</v>
      </c>
      <c r="AU638" s="15"/>
      <c r="AV638" s="1" t="s">
        <v>1502</v>
      </c>
      <c r="BG638" s="7" t="s">
        <v>1503</v>
      </c>
      <c r="BH638" s="1" t="s">
        <v>1947</v>
      </c>
      <c r="BI638" s="2" t="s">
        <v>3954</v>
      </c>
      <c r="BJ638" s="1" t="s">
        <v>1875</v>
      </c>
      <c r="BK638" s="2" t="s">
        <v>3955</v>
      </c>
      <c r="BL638" s="1" t="s">
        <v>1877</v>
      </c>
      <c r="BM638" s="2" t="s">
        <v>3956</v>
      </c>
    </row>
    <row r="639" spans="1:73" ht="144" x14ac:dyDescent="0.45">
      <c r="A639" s="5">
        <v>638</v>
      </c>
      <c r="B639" s="8" t="s">
        <v>3957</v>
      </c>
      <c r="C639" s="6" t="s">
        <v>1816</v>
      </c>
      <c r="D639" s="7" t="s">
        <v>9794</v>
      </c>
      <c r="E639" s="1" t="s">
        <v>1454</v>
      </c>
      <c r="F639" s="1" t="s">
        <v>9013</v>
      </c>
      <c r="G639" s="1"/>
      <c r="J639" s="1" t="s">
        <v>9795</v>
      </c>
      <c r="K639" s="2" t="s">
        <v>8576</v>
      </c>
      <c r="L639" s="3" t="s">
        <v>8639</v>
      </c>
      <c r="P639" s="7" t="s">
        <v>1241</v>
      </c>
      <c r="Q639" s="13" t="str">
        <f>INDEX($L:$L, MATCH("limit", $B:$B, 0))</f>
        <v>&lt;span class="w"&gt;&lt;b&gt;【23.limit：～を制限する】&lt;/b&gt;&lt;/span&gt;
&lt;span class="ml"&gt;ラテン語limitem（境界, 限界）に由来する。
&lt;span class="spacer"&gt;&lt;/span&gt;「境界, 限界」から、限界を設定する＝「制限する」という意味になる。&lt;/span&gt;</v>
      </c>
      <c r="AU639" s="15"/>
      <c r="AV639" s="1" t="s">
        <v>1502</v>
      </c>
      <c r="BG639" s="7" t="s">
        <v>1503</v>
      </c>
      <c r="BH639" s="1" t="s">
        <v>1947</v>
      </c>
      <c r="BI639" s="2" t="s">
        <v>8577</v>
      </c>
      <c r="BJ639" s="1" t="s">
        <v>1877</v>
      </c>
      <c r="BK639" s="2" t="s">
        <v>3958</v>
      </c>
    </row>
    <row r="640" spans="1:73" ht="90" x14ac:dyDescent="0.45">
      <c r="A640" s="5">
        <v>639</v>
      </c>
      <c r="B640" s="8" t="s">
        <v>424</v>
      </c>
      <c r="C640" s="6" t="s">
        <v>1816</v>
      </c>
      <c r="D640" s="7" t="s">
        <v>9794</v>
      </c>
      <c r="E640" s="6" t="s">
        <v>424</v>
      </c>
      <c r="F640" s="1"/>
      <c r="G640" s="1"/>
      <c r="J640" s="1" t="s">
        <v>9795</v>
      </c>
      <c r="K640" s="2" t="s">
        <v>8578</v>
      </c>
      <c r="L640" s="9" t="s">
        <v>8579</v>
      </c>
      <c r="P640" s="7" t="s">
        <v>1241</v>
      </c>
      <c r="AU640" s="15"/>
      <c r="AV640" s="1" t="s">
        <v>1502</v>
      </c>
      <c r="BG640" s="7" t="s">
        <v>1503</v>
      </c>
      <c r="BH640" s="1" t="s">
        <v>1959</v>
      </c>
      <c r="BI640" s="2" t="s">
        <v>3959</v>
      </c>
      <c r="BJ640" s="1" t="s">
        <v>1875</v>
      </c>
      <c r="BK640" s="2" t="s">
        <v>3960</v>
      </c>
    </row>
    <row r="641" spans="1:75" ht="108" x14ac:dyDescent="0.45">
      <c r="A641" s="5">
        <v>640</v>
      </c>
      <c r="B641" s="8" t="s">
        <v>425</v>
      </c>
      <c r="C641" s="6" t="s">
        <v>1816</v>
      </c>
      <c r="D641" s="7" t="s">
        <v>9794</v>
      </c>
      <c r="E641" s="6" t="s">
        <v>425</v>
      </c>
      <c r="F641" s="1"/>
      <c r="G641" s="1"/>
      <c r="J641" s="1" t="s">
        <v>9795</v>
      </c>
      <c r="K641" s="2" t="s">
        <v>8580</v>
      </c>
      <c r="L641" s="3" t="s">
        <v>8640</v>
      </c>
      <c r="P641" s="7" t="s">
        <v>1241</v>
      </c>
      <c r="AU641" s="15"/>
      <c r="AV641" s="1" t="s">
        <v>1502</v>
      </c>
      <c r="BG641" s="7" t="s">
        <v>1503</v>
      </c>
      <c r="BH641" s="1" t="s">
        <v>1947</v>
      </c>
      <c r="BI641" s="2" t="s">
        <v>3961</v>
      </c>
      <c r="BJ641" s="1" t="s">
        <v>2036</v>
      </c>
      <c r="BK641" s="2" t="s">
        <v>3962</v>
      </c>
      <c r="BL641" s="1" t="s">
        <v>1959</v>
      </c>
      <c r="BM641" s="1" t="s">
        <v>3963</v>
      </c>
      <c r="BN641" s="1" t="s">
        <v>3250</v>
      </c>
      <c r="BO641" s="1" t="s">
        <v>3964</v>
      </c>
      <c r="BP641" s="1" t="s">
        <v>1875</v>
      </c>
      <c r="BQ641" s="2" t="s">
        <v>3965</v>
      </c>
      <c r="BR641" s="1" t="s">
        <v>1877</v>
      </c>
      <c r="BS641" s="2" t="s">
        <v>3966</v>
      </c>
    </row>
    <row r="642" spans="1:75" ht="90" x14ac:dyDescent="0.45">
      <c r="A642" s="5">
        <v>641</v>
      </c>
      <c r="B642" s="8" t="s">
        <v>3967</v>
      </c>
      <c r="C642" s="6" t="s">
        <v>6851</v>
      </c>
      <c r="D642" s="7" t="s">
        <v>9794</v>
      </c>
      <c r="E642" s="1" t="s">
        <v>9014</v>
      </c>
      <c r="F642" s="1" t="s">
        <v>1582</v>
      </c>
      <c r="G642" s="1"/>
      <c r="J642" s="1" t="s">
        <v>9795</v>
      </c>
      <c r="K642" s="2" t="s">
        <v>8581</v>
      </c>
      <c r="L642" s="3" t="s">
        <v>8641</v>
      </c>
      <c r="M642" s="1" t="s">
        <v>12237</v>
      </c>
      <c r="P642" s="7" t="s">
        <v>1241</v>
      </c>
      <c r="Q642" s="13"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R642" s="13"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S642" s="13"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T642" s="13"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AU642" s="15"/>
      <c r="AV642" s="1" t="s">
        <v>1502</v>
      </c>
      <c r="BG642" s="7" t="s">
        <v>1503</v>
      </c>
      <c r="BH642" s="1" t="s">
        <v>1947</v>
      </c>
      <c r="BI642" s="2" t="s">
        <v>3979</v>
      </c>
      <c r="BJ642" s="1" t="s">
        <v>1967</v>
      </c>
      <c r="BK642" s="1" t="s">
        <v>3980</v>
      </c>
      <c r="BL642" s="1" t="s">
        <v>1959</v>
      </c>
      <c r="BM642" s="1" t="s">
        <v>426</v>
      </c>
      <c r="BN642" s="1" t="s">
        <v>1875</v>
      </c>
      <c r="BO642" s="2" t="s">
        <v>3981</v>
      </c>
      <c r="BP642" s="1" t="s">
        <v>1877</v>
      </c>
      <c r="BQ642" s="2" t="s">
        <v>3982</v>
      </c>
    </row>
    <row r="643" spans="1:75" ht="72" x14ac:dyDescent="0.45">
      <c r="A643" s="5">
        <v>642</v>
      </c>
      <c r="B643" s="8" t="s">
        <v>427</v>
      </c>
      <c r="C643" s="6" t="s">
        <v>6851</v>
      </c>
      <c r="D643" s="7" t="s">
        <v>9794</v>
      </c>
      <c r="E643" s="6" t="s">
        <v>427</v>
      </c>
      <c r="F643" s="1"/>
      <c r="G643" s="1"/>
      <c r="J643" s="1" t="s">
        <v>9795</v>
      </c>
      <c r="K643" s="2" t="s">
        <v>8582</v>
      </c>
      <c r="L643" s="9" t="s">
        <v>8583</v>
      </c>
      <c r="P643" s="7" t="s">
        <v>1241</v>
      </c>
      <c r="AU643" s="15"/>
      <c r="AV643" s="1" t="s">
        <v>1502</v>
      </c>
      <c r="BG643" s="7" t="s">
        <v>1503</v>
      </c>
      <c r="BH643" s="1" t="s">
        <v>2458</v>
      </c>
      <c r="BI643" s="2" t="s">
        <v>3983</v>
      </c>
      <c r="BJ643" s="1" t="s">
        <v>1877</v>
      </c>
      <c r="BK643" s="1" t="s">
        <v>3984</v>
      </c>
      <c r="BL643" s="1" t="s">
        <v>1875</v>
      </c>
      <c r="BM643" s="2" t="s">
        <v>3985</v>
      </c>
      <c r="BN643" s="1" t="s">
        <v>1877</v>
      </c>
      <c r="BO643" s="2" t="s">
        <v>3986</v>
      </c>
    </row>
    <row r="644" spans="1:75" ht="252" x14ac:dyDescent="0.45">
      <c r="A644" s="5">
        <v>643</v>
      </c>
      <c r="B644" s="8" t="s">
        <v>428</v>
      </c>
      <c r="C644" s="6" t="s">
        <v>6851</v>
      </c>
      <c r="D644" s="7" t="s">
        <v>9794</v>
      </c>
      <c r="E644" s="1" t="s">
        <v>1498</v>
      </c>
      <c r="F644" s="1" t="s">
        <v>1924</v>
      </c>
      <c r="G644" s="1" t="s">
        <v>1925</v>
      </c>
      <c r="J644" s="1" t="s">
        <v>9795</v>
      </c>
      <c r="K644" s="2" t="s">
        <v>8584</v>
      </c>
      <c r="L644" s="9" t="s">
        <v>8642</v>
      </c>
      <c r="P644" s="7" t="s">
        <v>1241</v>
      </c>
      <c r="AU644" s="15"/>
      <c r="AV644" s="1" t="s">
        <v>1502</v>
      </c>
      <c r="BG644" s="7" t="s">
        <v>1503</v>
      </c>
      <c r="BH644" s="1" t="s">
        <v>2458</v>
      </c>
      <c r="BI644" s="2" t="s">
        <v>3987</v>
      </c>
      <c r="BJ644" s="1" t="s">
        <v>2036</v>
      </c>
      <c r="BK644" s="1" t="s">
        <v>3988</v>
      </c>
      <c r="BL644" s="1" t="s">
        <v>1967</v>
      </c>
      <c r="BM644" s="1" t="s">
        <v>3989</v>
      </c>
      <c r="BN644" s="1" t="s">
        <v>1875</v>
      </c>
      <c r="BO644" s="2" t="s">
        <v>3990</v>
      </c>
      <c r="BP644" s="1" t="s">
        <v>1877</v>
      </c>
      <c r="BQ644" s="2" t="s">
        <v>3991</v>
      </c>
    </row>
    <row r="645" spans="1:75" ht="234" x14ac:dyDescent="0.45">
      <c r="A645" s="5">
        <v>644</v>
      </c>
      <c r="B645" s="8" t="s">
        <v>3968</v>
      </c>
      <c r="C645" s="6" t="s">
        <v>6851</v>
      </c>
      <c r="D645" s="7" t="s">
        <v>9794</v>
      </c>
      <c r="E645" s="1" t="s">
        <v>1254</v>
      </c>
      <c r="F645" s="1" t="s">
        <v>9015</v>
      </c>
      <c r="G645" s="1" t="s">
        <v>1767</v>
      </c>
      <c r="J645" s="1" t="s">
        <v>9795</v>
      </c>
      <c r="K645" s="2"/>
      <c r="L645" s="2" t="s">
        <v>8585</v>
      </c>
      <c r="P645" s="7" t="s">
        <v>1241</v>
      </c>
      <c r="Q645" s="13"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645" s="13"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S645" s="13"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AU645" s="15"/>
      <c r="AV645" s="1" t="s">
        <v>1502</v>
      </c>
      <c r="BG645" s="7" t="s">
        <v>1503</v>
      </c>
      <c r="BH645" s="1" t="s">
        <v>1947</v>
      </c>
      <c r="BI645" s="2" t="s">
        <v>3992</v>
      </c>
      <c r="BJ645" s="1" t="s">
        <v>1959</v>
      </c>
      <c r="BK645" s="2" t="s">
        <v>3993</v>
      </c>
      <c r="BL645" s="1" t="s">
        <v>1875</v>
      </c>
      <c r="BM645" s="2" t="s">
        <v>8586</v>
      </c>
    </row>
    <row r="646" spans="1:75" ht="180" x14ac:dyDescent="0.45">
      <c r="A646" s="5">
        <v>645</v>
      </c>
      <c r="B646" s="8" t="s">
        <v>429</v>
      </c>
      <c r="C646" s="6" t="s">
        <v>6851</v>
      </c>
      <c r="D646" s="7" t="s">
        <v>9794</v>
      </c>
      <c r="E646" s="1" t="s">
        <v>1802</v>
      </c>
      <c r="F646" s="1" t="s">
        <v>1803</v>
      </c>
      <c r="G646" s="1"/>
      <c r="J646" s="1" t="s">
        <v>9795</v>
      </c>
      <c r="K646" s="2" t="s">
        <v>8587</v>
      </c>
      <c r="L646" s="4" t="s">
        <v>8643</v>
      </c>
      <c r="P646" s="7" t="s">
        <v>1241</v>
      </c>
      <c r="Q646" s="13"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U646" s="15"/>
      <c r="AV646" s="1" t="s">
        <v>1502</v>
      </c>
      <c r="BG646" s="7" t="s">
        <v>1503</v>
      </c>
      <c r="BH646" s="1" t="s">
        <v>1976</v>
      </c>
      <c r="BI646" s="1" t="s">
        <v>8588</v>
      </c>
      <c r="BJ646" s="1" t="s">
        <v>1872</v>
      </c>
      <c r="BK646" s="2" t="s">
        <v>3994</v>
      </c>
    </row>
    <row r="647" spans="1:75" ht="162" x14ac:dyDescent="0.45">
      <c r="A647" s="5">
        <v>646</v>
      </c>
      <c r="B647" s="8" t="s">
        <v>430</v>
      </c>
      <c r="C647" s="6" t="s">
        <v>6851</v>
      </c>
      <c r="D647" s="7" t="s">
        <v>9794</v>
      </c>
      <c r="E647" s="1" t="s">
        <v>430</v>
      </c>
      <c r="F647" s="1"/>
      <c r="G647" s="1"/>
      <c r="J647" s="1" t="s">
        <v>9795</v>
      </c>
      <c r="K647" s="2" t="s">
        <v>8589</v>
      </c>
      <c r="L647" s="3" t="s">
        <v>10384</v>
      </c>
      <c r="P647" s="7" t="s">
        <v>1241</v>
      </c>
      <c r="AU647" s="15"/>
      <c r="AV647" s="1" t="s">
        <v>1502</v>
      </c>
      <c r="BG647" s="7" t="s">
        <v>1503</v>
      </c>
      <c r="BH647" s="1" t="s">
        <v>1976</v>
      </c>
      <c r="BI647" s="2" t="s">
        <v>3995</v>
      </c>
      <c r="BJ647" s="1" t="s">
        <v>1947</v>
      </c>
      <c r="BK647" s="2" t="s">
        <v>3996</v>
      </c>
      <c r="BL647" s="1" t="s">
        <v>1959</v>
      </c>
      <c r="BM647" s="1" t="s">
        <v>3997</v>
      </c>
      <c r="BN647" s="1" t="s">
        <v>1875</v>
      </c>
      <c r="BO647" s="2" t="s">
        <v>3998</v>
      </c>
    </row>
    <row r="648" spans="1:75" ht="126" x14ac:dyDescent="0.45">
      <c r="A648" s="5">
        <v>647</v>
      </c>
      <c r="B648" s="8" t="s">
        <v>431</v>
      </c>
      <c r="C648" s="6" t="s">
        <v>6851</v>
      </c>
      <c r="D648" s="7" t="s">
        <v>9794</v>
      </c>
      <c r="E648" s="6" t="s">
        <v>1804</v>
      </c>
      <c r="F648" s="1" t="s">
        <v>1447</v>
      </c>
      <c r="G648" s="1"/>
      <c r="J648" s="1" t="s">
        <v>9795</v>
      </c>
      <c r="K648" s="2" t="s">
        <v>8590</v>
      </c>
      <c r="L648" s="9" t="s">
        <v>8591</v>
      </c>
      <c r="P648" s="7" t="s">
        <v>1241</v>
      </c>
      <c r="Q648" s="13"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V648" s="1" t="s">
        <v>1502</v>
      </c>
      <c r="BG648" s="7" t="s">
        <v>1503</v>
      </c>
      <c r="BH648" s="1" t="s">
        <v>1976</v>
      </c>
      <c r="BI648" s="1" t="s">
        <v>3999</v>
      </c>
      <c r="BJ648" s="1" t="s">
        <v>4000</v>
      </c>
      <c r="BK648" s="1" t="s">
        <v>4001</v>
      </c>
      <c r="BL648" s="1" t="s">
        <v>1872</v>
      </c>
      <c r="BM648" s="1" t="s">
        <v>4002</v>
      </c>
    </row>
    <row r="649" spans="1:75" ht="126" x14ac:dyDescent="0.45">
      <c r="A649" s="5">
        <v>648</v>
      </c>
      <c r="B649" s="8" t="s">
        <v>432</v>
      </c>
      <c r="C649" s="6" t="s">
        <v>6851</v>
      </c>
      <c r="D649" s="7" t="s">
        <v>9794</v>
      </c>
      <c r="E649" s="1" t="s">
        <v>432</v>
      </c>
      <c r="F649" s="1"/>
      <c r="G649" s="1"/>
      <c r="J649" s="1" t="s">
        <v>9795</v>
      </c>
      <c r="K649" s="2" t="s">
        <v>8592</v>
      </c>
      <c r="L649" s="9" t="s">
        <v>8593</v>
      </c>
      <c r="P649" s="7" t="s">
        <v>1241</v>
      </c>
      <c r="AV649" s="1" t="s">
        <v>1502</v>
      </c>
      <c r="BG649" s="7" t="s">
        <v>1503</v>
      </c>
      <c r="BH649" s="1" t="s">
        <v>1976</v>
      </c>
      <c r="BI649" s="1" t="s">
        <v>4003</v>
      </c>
      <c r="BJ649" s="1" t="s">
        <v>2458</v>
      </c>
      <c r="BK649" s="2" t="s">
        <v>4004</v>
      </c>
      <c r="BL649" s="1" t="s">
        <v>1947</v>
      </c>
      <c r="BM649" s="1" t="s">
        <v>4005</v>
      </c>
      <c r="BN649" s="1" t="s">
        <v>1967</v>
      </c>
      <c r="BO649" s="1" t="s">
        <v>4006</v>
      </c>
      <c r="BP649" s="1" t="s">
        <v>1959</v>
      </c>
      <c r="BQ649" s="2" t="s">
        <v>4007</v>
      </c>
      <c r="BR649" s="1" t="s">
        <v>2114</v>
      </c>
      <c r="BS649" s="1" t="s">
        <v>4008</v>
      </c>
      <c r="BT649" s="1" t="s">
        <v>1875</v>
      </c>
      <c r="BU649" s="2" t="s">
        <v>4009</v>
      </c>
      <c r="BV649" s="1" t="s">
        <v>1877</v>
      </c>
      <c r="BW649" s="2" t="s">
        <v>4010</v>
      </c>
    </row>
    <row r="650" spans="1:75" ht="108" x14ac:dyDescent="0.45">
      <c r="A650" s="5">
        <v>649</v>
      </c>
      <c r="B650" s="8" t="s">
        <v>433</v>
      </c>
      <c r="C650" s="6" t="s">
        <v>6851</v>
      </c>
      <c r="D650" s="7" t="s">
        <v>9794</v>
      </c>
      <c r="E650" s="6" t="s">
        <v>433</v>
      </c>
      <c r="F650" s="1"/>
      <c r="G650" s="1"/>
      <c r="J650" s="1" t="s">
        <v>9795</v>
      </c>
      <c r="K650" s="2"/>
      <c r="L650" s="9" t="s">
        <v>8594</v>
      </c>
      <c r="P650" s="7" t="s">
        <v>1241</v>
      </c>
      <c r="AU650" s="15"/>
      <c r="AV650" s="1" t="s">
        <v>1502</v>
      </c>
      <c r="BG650" s="7" t="s">
        <v>1503</v>
      </c>
      <c r="BH650" s="1" t="s">
        <v>1947</v>
      </c>
      <c r="BI650" s="2" t="s">
        <v>4011</v>
      </c>
      <c r="BJ650" s="1" t="s">
        <v>1959</v>
      </c>
      <c r="BK650" s="1" t="s">
        <v>4012</v>
      </c>
      <c r="BL650" s="1" t="s">
        <v>2114</v>
      </c>
      <c r="BM650" s="1" t="s">
        <v>4013</v>
      </c>
      <c r="BN650" s="1" t="s">
        <v>1875</v>
      </c>
      <c r="BO650" s="2" t="s">
        <v>4014</v>
      </c>
      <c r="BP650" s="1" t="s">
        <v>1877</v>
      </c>
      <c r="BQ650" s="2" t="s">
        <v>4015</v>
      </c>
    </row>
    <row r="651" spans="1:75" ht="234" x14ac:dyDescent="0.45">
      <c r="A651" s="5">
        <v>650</v>
      </c>
      <c r="B651" s="8" t="s">
        <v>434</v>
      </c>
      <c r="C651" s="6" t="s">
        <v>6851</v>
      </c>
      <c r="D651" s="7" t="s">
        <v>9794</v>
      </c>
      <c r="E651" s="1" t="s">
        <v>1621</v>
      </c>
      <c r="F651" s="1" t="s">
        <v>1808</v>
      </c>
      <c r="G651" s="1"/>
      <c r="J651" s="1" t="s">
        <v>9795</v>
      </c>
      <c r="K651" s="2"/>
      <c r="L651" s="4" t="s">
        <v>8595</v>
      </c>
      <c r="P651" s="7" t="s">
        <v>1241</v>
      </c>
      <c r="Q651" s="14"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651" s="14"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S651" s="14"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T651" s="13"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U651" s="13"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V651"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W651" s="13"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AU651" s="15"/>
      <c r="AV651" s="1" t="s">
        <v>1502</v>
      </c>
      <c r="BG651" s="7" t="s">
        <v>1503</v>
      </c>
      <c r="BH651" s="1" t="s">
        <v>3250</v>
      </c>
      <c r="BI651" s="2" t="s">
        <v>4016</v>
      </c>
      <c r="BJ651" s="1" t="s">
        <v>2114</v>
      </c>
      <c r="BK651" s="1" t="s">
        <v>4017</v>
      </c>
      <c r="BL651" s="1" t="s">
        <v>1875</v>
      </c>
      <c r="BM651" s="2" t="s">
        <v>4018</v>
      </c>
    </row>
    <row r="652" spans="1:75" ht="144" x14ac:dyDescent="0.45">
      <c r="A652" s="5">
        <v>651</v>
      </c>
      <c r="B652" s="8" t="s">
        <v>3969</v>
      </c>
      <c r="C652" s="6" t="s">
        <v>6851</v>
      </c>
      <c r="D652" s="7" t="s">
        <v>9794</v>
      </c>
      <c r="E652" s="1" t="s">
        <v>4019</v>
      </c>
      <c r="F652" s="1" t="s">
        <v>1695</v>
      </c>
      <c r="G652" s="1" t="s">
        <v>1474</v>
      </c>
      <c r="J652" s="1" t="s">
        <v>9795</v>
      </c>
      <c r="K652" s="2" t="s">
        <v>8596</v>
      </c>
      <c r="L652" s="2" t="s">
        <v>8597</v>
      </c>
      <c r="M652" s="1" t="s">
        <v>12259</v>
      </c>
      <c r="P652" s="7" t="s">
        <v>1241</v>
      </c>
      <c r="Q652" s="13"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R652" s="13" t="str">
        <f>INDEX($L:$L, MATCH("inferior", $B:$B, 0))</f>
        <v>&lt;span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class="spacer"&gt;&lt;/span&gt;このまま日本語にすると「より下の」となる。物理的に基準よりも下に位置することから比喩的に、質・能力・立場などが「より劣った」という意味になる。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AU652" s="15"/>
      <c r="AV652" s="1" t="s">
        <v>1502</v>
      </c>
      <c r="BG652" s="7" t="s">
        <v>1503</v>
      </c>
      <c r="BH652" s="1" t="s">
        <v>4020</v>
      </c>
      <c r="BI652" s="2" t="s">
        <v>4021</v>
      </c>
      <c r="BJ652" s="1" t="s">
        <v>1947</v>
      </c>
      <c r="BK652" s="2" t="s">
        <v>4022</v>
      </c>
      <c r="BL652" s="1" t="s">
        <v>1967</v>
      </c>
      <c r="BM652" s="2" t="s">
        <v>8598</v>
      </c>
      <c r="BN652" s="1" t="s">
        <v>1959</v>
      </c>
      <c r="BO652" s="2" t="s">
        <v>4023</v>
      </c>
      <c r="BP652" s="1" t="s">
        <v>1875</v>
      </c>
      <c r="BQ652" s="2" t="s">
        <v>4024</v>
      </c>
      <c r="BR652" s="1" t="s">
        <v>1877</v>
      </c>
      <c r="BS652" s="2" t="s">
        <v>4025</v>
      </c>
      <c r="BT652" s="1" t="s">
        <v>3497</v>
      </c>
      <c r="BU652" s="2" t="s">
        <v>4026</v>
      </c>
    </row>
    <row r="653" spans="1:75" ht="216" x14ac:dyDescent="0.45">
      <c r="A653" s="5">
        <v>652</v>
      </c>
      <c r="B653" s="8" t="s">
        <v>435</v>
      </c>
      <c r="C653" s="6" t="s">
        <v>6851</v>
      </c>
      <c r="D653" s="7" t="s">
        <v>9794</v>
      </c>
      <c r="E653" s="6" t="s">
        <v>766</v>
      </c>
      <c r="F653" s="1" t="s">
        <v>1551</v>
      </c>
      <c r="G653" s="1"/>
      <c r="J653" s="1" t="s">
        <v>9795</v>
      </c>
      <c r="K653" s="2" t="s">
        <v>8599</v>
      </c>
      <c r="L653" s="4" t="s">
        <v>8600</v>
      </c>
      <c r="M653" s="1" t="s">
        <v>12266</v>
      </c>
      <c r="P653" s="7" t="s">
        <v>1241</v>
      </c>
      <c r="Q653" s="14"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R653" s="13"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U653" s="15"/>
      <c r="AV653" s="1" t="s">
        <v>1502</v>
      </c>
      <c r="BG653" s="7" t="s">
        <v>1503</v>
      </c>
      <c r="BH653" s="1" t="s">
        <v>2458</v>
      </c>
      <c r="BI653" s="2" t="s">
        <v>4027</v>
      </c>
      <c r="BJ653" s="1" t="s">
        <v>1947</v>
      </c>
      <c r="BK653" s="1" t="s">
        <v>4028</v>
      </c>
      <c r="BL653" s="1" t="s">
        <v>1959</v>
      </c>
      <c r="BM653" s="2" t="s">
        <v>4029</v>
      </c>
      <c r="BN653" s="1" t="s">
        <v>1875</v>
      </c>
      <c r="BO653" s="2" t="s">
        <v>4030</v>
      </c>
      <c r="BP653" s="2" t="s">
        <v>1877</v>
      </c>
      <c r="BQ653" s="2" t="s">
        <v>4031</v>
      </c>
    </row>
    <row r="654" spans="1:75" ht="409.6" x14ac:dyDescent="0.45">
      <c r="A654" s="5">
        <v>653</v>
      </c>
      <c r="B654" s="8" t="s">
        <v>436</v>
      </c>
      <c r="C654" s="6" t="s">
        <v>6851</v>
      </c>
      <c r="D654" s="7" t="s">
        <v>9794</v>
      </c>
      <c r="E654" s="1" t="s">
        <v>1743</v>
      </c>
      <c r="F654" s="1" t="s">
        <v>9016</v>
      </c>
      <c r="G654" s="1"/>
      <c r="J654" s="1" t="s">
        <v>9795</v>
      </c>
      <c r="K654" s="2" t="s">
        <v>8601</v>
      </c>
      <c r="L654" s="4" t="s">
        <v>8602</v>
      </c>
      <c r="M654" s="1" t="s">
        <v>12264</v>
      </c>
      <c r="P654" s="7" t="s">
        <v>1241</v>
      </c>
      <c r="Q654" s="14"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R654" s="14"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S654" s="14"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T654" s="13"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U654" s="15"/>
      <c r="AV654" s="1" t="s">
        <v>1502</v>
      </c>
      <c r="BG654" s="7" t="s">
        <v>1503</v>
      </c>
      <c r="BH654" s="1" t="s">
        <v>1947</v>
      </c>
      <c r="BI654" s="2" t="s">
        <v>8603</v>
      </c>
      <c r="BJ654" s="1" t="s">
        <v>1877</v>
      </c>
      <c r="BK654" s="2" t="s">
        <v>4032</v>
      </c>
    </row>
    <row r="655" spans="1:75" ht="270" x14ac:dyDescent="0.45">
      <c r="A655" s="5">
        <v>654</v>
      </c>
      <c r="B655" s="8" t="s">
        <v>437</v>
      </c>
      <c r="C655" s="6" t="s">
        <v>6851</v>
      </c>
      <c r="D655" s="7" t="s">
        <v>9794</v>
      </c>
      <c r="E655" s="1" t="s">
        <v>1413</v>
      </c>
      <c r="F655" s="1" t="s">
        <v>9017</v>
      </c>
      <c r="G655" s="1" t="s">
        <v>1580</v>
      </c>
      <c r="J655" s="1" t="s">
        <v>9795</v>
      </c>
      <c r="K655" s="2" t="s">
        <v>8604</v>
      </c>
      <c r="L655" s="4" t="s">
        <v>8605</v>
      </c>
      <c r="M655" s="1" t="s">
        <v>12235</v>
      </c>
      <c r="P655" s="7" t="s">
        <v>1241</v>
      </c>
      <c r="Q655" s="1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655" s="1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S655" s="1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T655" s="13"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U655" s="15"/>
      <c r="AV655" s="1" t="s">
        <v>1502</v>
      </c>
      <c r="BG655" s="7" t="s">
        <v>1503</v>
      </c>
      <c r="BH655" s="1" t="s">
        <v>1947</v>
      </c>
      <c r="BI655" s="2" t="s">
        <v>4033</v>
      </c>
      <c r="BJ655" s="1" t="s">
        <v>1959</v>
      </c>
      <c r="BK655" s="1" t="s">
        <v>4034</v>
      </c>
      <c r="BL655" s="1" t="s">
        <v>2114</v>
      </c>
      <c r="BM655" s="1" t="s">
        <v>4035</v>
      </c>
      <c r="BN655" s="1" t="s">
        <v>1875</v>
      </c>
      <c r="BO655" s="2" t="s">
        <v>4036</v>
      </c>
    </row>
    <row r="656" spans="1:75" ht="144" x14ac:dyDescent="0.45">
      <c r="A656" s="5">
        <v>655</v>
      </c>
      <c r="B656" s="8" t="s">
        <v>438</v>
      </c>
      <c r="C656" s="6" t="s">
        <v>6851</v>
      </c>
      <c r="D656" s="7" t="s">
        <v>9794</v>
      </c>
      <c r="E656" s="6" t="s">
        <v>438</v>
      </c>
      <c r="F656" s="1"/>
      <c r="G656" s="1"/>
      <c r="J656" s="1" t="s">
        <v>9795</v>
      </c>
      <c r="K656" s="2"/>
      <c r="L656" s="9" t="s">
        <v>8606</v>
      </c>
      <c r="P656" s="7" t="s">
        <v>1241</v>
      </c>
      <c r="AV656" s="1" t="s">
        <v>1502</v>
      </c>
      <c r="BG656" s="7" t="s">
        <v>1503</v>
      </c>
      <c r="BH656" s="1" t="s">
        <v>1875</v>
      </c>
      <c r="BI656" s="1" t="s">
        <v>4037</v>
      </c>
      <c r="BJ656" s="1" t="s">
        <v>1877</v>
      </c>
      <c r="BK656" s="2" t="s">
        <v>4038</v>
      </c>
    </row>
    <row r="657" spans="1:69" ht="108" x14ac:dyDescent="0.45">
      <c r="A657" s="5">
        <v>656</v>
      </c>
      <c r="B657" s="8" t="s">
        <v>439</v>
      </c>
      <c r="C657" s="6" t="s">
        <v>6851</v>
      </c>
      <c r="D657" s="7" t="s">
        <v>9794</v>
      </c>
      <c r="E657" s="6" t="s">
        <v>439</v>
      </c>
      <c r="F657" s="1"/>
      <c r="G657" s="1"/>
      <c r="J657" s="1" t="s">
        <v>9795</v>
      </c>
      <c r="K657" s="2" t="s">
        <v>8644</v>
      </c>
      <c r="L657" s="9" t="s">
        <v>8645</v>
      </c>
      <c r="P657" s="7" t="s">
        <v>1241</v>
      </c>
      <c r="Q657" s="13" t="str">
        <f>INDEX($L:$L, MATCH("bind", $B:$B, 0))</f>
        <v>&lt;span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v>
      </c>
      <c r="AV657" s="1" t="s">
        <v>1502</v>
      </c>
      <c r="BG657" s="7" t="s">
        <v>1503</v>
      </c>
      <c r="BH657" s="1" t="s">
        <v>1872</v>
      </c>
      <c r="BI657" s="1" t="s">
        <v>4039</v>
      </c>
      <c r="BJ657" s="1" t="s">
        <v>1875</v>
      </c>
      <c r="BK657" s="2" t="s">
        <v>4040</v>
      </c>
      <c r="BL657" s="1" t="s">
        <v>1877</v>
      </c>
      <c r="BM657" s="2" t="s">
        <v>4041</v>
      </c>
    </row>
    <row r="658" spans="1:69" ht="126" x14ac:dyDescent="0.45">
      <c r="A658" s="5">
        <v>657</v>
      </c>
      <c r="B658" s="8" t="s">
        <v>440</v>
      </c>
      <c r="C658" s="6" t="s">
        <v>6851</v>
      </c>
      <c r="D658" s="7" t="s">
        <v>9794</v>
      </c>
      <c r="E658" s="6" t="s">
        <v>440</v>
      </c>
      <c r="F658" s="1"/>
      <c r="G658" s="1"/>
      <c r="J658" s="1" t="s">
        <v>9795</v>
      </c>
      <c r="K658" s="2" t="s">
        <v>8633</v>
      </c>
      <c r="L658" s="9" t="s">
        <v>8607</v>
      </c>
      <c r="P658" s="7" t="s">
        <v>1241</v>
      </c>
      <c r="AU658" s="15"/>
      <c r="AV658" s="1" t="s">
        <v>1502</v>
      </c>
      <c r="BG658" s="7" t="s">
        <v>1503</v>
      </c>
      <c r="BH658" s="1" t="s">
        <v>1947</v>
      </c>
      <c r="BI658" s="2" t="s">
        <v>4042</v>
      </c>
      <c r="BJ658" s="1" t="s">
        <v>1875</v>
      </c>
      <c r="BK658" s="2" t="s">
        <v>4043</v>
      </c>
      <c r="BL658" s="1" t="s">
        <v>1877</v>
      </c>
      <c r="BM658" s="2" t="s">
        <v>8608</v>
      </c>
    </row>
    <row r="659" spans="1:69" ht="126" x14ac:dyDescent="0.45">
      <c r="A659" s="5">
        <v>658</v>
      </c>
      <c r="B659" s="8" t="s">
        <v>441</v>
      </c>
      <c r="C659" s="6" t="s">
        <v>6851</v>
      </c>
      <c r="D659" s="7" t="s">
        <v>9794</v>
      </c>
      <c r="E659" s="1" t="s">
        <v>1341</v>
      </c>
      <c r="F659" s="1" t="s">
        <v>1926</v>
      </c>
      <c r="G659" s="1" t="s">
        <v>1927</v>
      </c>
      <c r="J659" s="1" t="s">
        <v>9795</v>
      </c>
      <c r="K659" s="2" t="s">
        <v>8609</v>
      </c>
      <c r="L659" s="4" t="s">
        <v>8610</v>
      </c>
      <c r="P659" s="7" t="s">
        <v>1241</v>
      </c>
      <c r="Q659" s="13" t="str">
        <f>INDEX($L:$L, MATCH("physician", $B:$B, 0))</f>
        <v>&lt;span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v>
      </c>
      <c r="R659" s="13" t="str">
        <f>INDEX($L:$L, MATCH("allergy", $B:$B, 0))</f>
        <v>&lt;span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v>
      </c>
      <c r="AU659" s="15"/>
      <c r="AV659" s="1" t="s">
        <v>1502</v>
      </c>
      <c r="BG659" s="7" t="s">
        <v>1503</v>
      </c>
      <c r="BH659" s="1" t="s">
        <v>2458</v>
      </c>
      <c r="BI659" s="2" t="s">
        <v>4044</v>
      </c>
      <c r="BJ659" s="1" t="s">
        <v>2036</v>
      </c>
      <c r="BK659" s="2" t="s">
        <v>4045</v>
      </c>
      <c r="BL659" s="1" t="s">
        <v>1959</v>
      </c>
      <c r="BM659" s="1" t="s">
        <v>4046</v>
      </c>
      <c r="BN659" s="1" t="s">
        <v>1875</v>
      </c>
      <c r="BO659" s="2" t="s">
        <v>4047</v>
      </c>
    </row>
    <row r="660" spans="1:69" ht="396" x14ac:dyDescent="0.45">
      <c r="A660" s="5">
        <v>659</v>
      </c>
      <c r="B660" s="8" t="s">
        <v>442</v>
      </c>
      <c r="C660" s="6" t="s">
        <v>6851</v>
      </c>
      <c r="D660" s="7" t="s">
        <v>9794</v>
      </c>
      <c r="E660" s="1" t="s">
        <v>27</v>
      </c>
      <c r="F660" s="1" t="s">
        <v>1341</v>
      </c>
      <c r="G660" s="1" t="s">
        <v>1809</v>
      </c>
      <c r="J660" s="1" t="s">
        <v>9795</v>
      </c>
      <c r="K660" s="2" t="s">
        <v>8611</v>
      </c>
      <c r="L660" s="3" t="s">
        <v>8646</v>
      </c>
      <c r="M660" s="1" t="s">
        <v>12256</v>
      </c>
      <c r="P660" s="7" t="s">
        <v>1241</v>
      </c>
      <c r="Q660" s="14"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660"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S660" s="14"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T660" s="14"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U660" s="14"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V660"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660" s="15"/>
      <c r="AV660" s="1" t="s">
        <v>1502</v>
      </c>
      <c r="BG660" s="7" t="s">
        <v>1503</v>
      </c>
      <c r="BH660" s="1" t="s">
        <v>1947</v>
      </c>
      <c r="BI660" s="2" t="s">
        <v>4048</v>
      </c>
      <c r="BJ660" s="1" t="s">
        <v>1959</v>
      </c>
      <c r="BK660" s="2" t="s">
        <v>4049</v>
      </c>
      <c r="BL660" s="1" t="s">
        <v>1877</v>
      </c>
      <c r="BM660" s="2" t="s">
        <v>4050</v>
      </c>
    </row>
    <row r="661" spans="1:69" ht="126" x14ac:dyDescent="0.45">
      <c r="A661" s="5">
        <v>660</v>
      </c>
      <c r="B661" s="8" t="s">
        <v>443</v>
      </c>
      <c r="C661" s="6" t="s">
        <v>6851</v>
      </c>
      <c r="D661" s="7" t="s">
        <v>9794</v>
      </c>
      <c r="E661" s="6" t="s">
        <v>443</v>
      </c>
      <c r="F661" s="1"/>
      <c r="G661" s="1"/>
      <c r="J661" s="1" t="s">
        <v>9795</v>
      </c>
      <c r="K661" s="2" t="s">
        <v>1810</v>
      </c>
      <c r="L661" s="9" t="s">
        <v>8612</v>
      </c>
      <c r="P661" s="7" t="s">
        <v>1241</v>
      </c>
      <c r="AU661" s="15"/>
      <c r="AV661" s="1" t="s">
        <v>1502</v>
      </c>
      <c r="BG661" s="7" t="s">
        <v>1503</v>
      </c>
      <c r="BH661" s="1" t="s">
        <v>1872</v>
      </c>
      <c r="BI661" s="2" t="s">
        <v>4051</v>
      </c>
      <c r="BJ661" s="1" t="s">
        <v>1875</v>
      </c>
      <c r="BK661" s="2" t="s">
        <v>4052</v>
      </c>
      <c r="BL661" s="1" t="s">
        <v>1877</v>
      </c>
      <c r="BM661" s="2" t="s">
        <v>4053</v>
      </c>
    </row>
    <row r="662" spans="1:69" ht="126" x14ac:dyDescent="0.45">
      <c r="A662" s="5">
        <v>661</v>
      </c>
      <c r="B662" s="8" t="s">
        <v>444</v>
      </c>
      <c r="C662" s="6" t="s">
        <v>6851</v>
      </c>
      <c r="D662" s="7" t="s">
        <v>9794</v>
      </c>
      <c r="E662" s="1" t="s">
        <v>1811</v>
      </c>
      <c r="F662" s="1" t="s">
        <v>1720</v>
      </c>
      <c r="G662" s="1"/>
      <c r="J662" s="1" t="s">
        <v>9795</v>
      </c>
      <c r="K662" s="2" t="s">
        <v>8613</v>
      </c>
      <c r="L662" s="9" t="s">
        <v>8614</v>
      </c>
      <c r="P662" s="7" t="s">
        <v>1241</v>
      </c>
      <c r="AU662" s="15"/>
      <c r="AV662" s="1" t="s">
        <v>1502</v>
      </c>
      <c r="BG662" s="7" t="s">
        <v>1503</v>
      </c>
      <c r="BH662" s="1" t="s">
        <v>1872</v>
      </c>
      <c r="BI662" s="2" t="s">
        <v>4054</v>
      </c>
      <c r="BJ662" s="1" t="s">
        <v>1875</v>
      </c>
      <c r="BK662" s="2" t="s">
        <v>4055</v>
      </c>
      <c r="BL662" s="1" t="s">
        <v>1877</v>
      </c>
      <c r="BM662" s="2" t="s">
        <v>4056</v>
      </c>
    </row>
    <row r="663" spans="1:69" ht="180" x14ac:dyDescent="0.45">
      <c r="A663" s="5">
        <v>662</v>
      </c>
      <c r="B663" s="8" t="s">
        <v>445</v>
      </c>
      <c r="C663" s="6" t="s">
        <v>6851</v>
      </c>
      <c r="D663" s="7" t="s">
        <v>9794</v>
      </c>
      <c r="E663" s="1" t="s">
        <v>1812</v>
      </c>
      <c r="F663" s="1" t="s">
        <v>1813</v>
      </c>
      <c r="G663" s="1"/>
      <c r="J663" s="1" t="s">
        <v>9795</v>
      </c>
      <c r="K663" s="2" t="s">
        <v>8615</v>
      </c>
      <c r="L663" s="9" t="s">
        <v>8616</v>
      </c>
      <c r="P663" s="7" t="s">
        <v>1241</v>
      </c>
      <c r="Q663" s="13" t="str">
        <f>INDEX($L:$L, MATCH("terrify", $B:$B, 0))</f>
        <v>&lt;span class="w"&gt;&lt;b&gt;【1306.terrify：〜を怖がらせる】&lt;/b&gt;&lt;/span&gt;
&lt;span class="ml"&gt;ラテン語に由来する語で、以下の2つの要素から成る。
&lt;span class="spacer"&gt;&lt;/span&gt;terrere（恐れで満たす）
facere（作る, する）
&lt;span class="spacer"&gt;&lt;/span&gt;この語の核は「恐れで満ちた状態にする」。そこから対象を「怖がらせる」という意味になる。
&lt;span class="spacer"&gt;&lt;/span&gt;このterr部分は、terror（恐怖, テロ）やterrible（恐ろしい, ひどい）と同じラテン語から生まれている。&lt;/span&gt;</v>
      </c>
      <c r="AU663" s="15"/>
      <c r="AV663" s="1" t="s">
        <v>1502</v>
      </c>
      <c r="BG663" s="7" t="s">
        <v>1503</v>
      </c>
      <c r="BH663" s="1" t="s">
        <v>1947</v>
      </c>
      <c r="BI663" s="2" t="s">
        <v>4057</v>
      </c>
      <c r="BJ663" s="1" t="s">
        <v>2044</v>
      </c>
      <c r="BK663" s="2" t="s">
        <v>4058</v>
      </c>
      <c r="BL663" s="1" t="s">
        <v>1877</v>
      </c>
      <c r="BM663" s="2" t="s">
        <v>4059</v>
      </c>
    </row>
    <row r="664" spans="1:69" ht="126" x14ac:dyDescent="0.45">
      <c r="A664" s="5">
        <v>663</v>
      </c>
      <c r="B664" s="8" t="s">
        <v>446</v>
      </c>
      <c r="C664" s="6" t="s">
        <v>6851</v>
      </c>
      <c r="D664" s="7" t="s">
        <v>9794</v>
      </c>
      <c r="E664" s="1" t="s">
        <v>1814</v>
      </c>
      <c r="F664" s="1" t="s">
        <v>1541</v>
      </c>
      <c r="G664" s="1"/>
      <c r="J664" s="1" t="s">
        <v>9795</v>
      </c>
      <c r="K664" s="2"/>
      <c r="L664" s="9" t="s">
        <v>8617</v>
      </c>
      <c r="P664" s="7" t="s">
        <v>1241</v>
      </c>
      <c r="AV664" s="1" t="s">
        <v>1502</v>
      </c>
      <c r="BG664" s="7" t="s">
        <v>1503</v>
      </c>
      <c r="BH664" s="1" t="s">
        <v>4060</v>
      </c>
      <c r="BI664" s="1" t="s">
        <v>8618</v>
      </c>
      <c r="BJ664" s="1" t="s">
        <v>1504</v>
      </c>
      <c r="BK664" s="2" t="s">
        <v>4061</v>
      </c>
      <c r="BL664" s="1" t="s">
        <v>2321</v>
      </c>
      <c r="BM664" s="1" t="s">
        <v>4062</v>
      </c>
      <c r="BN664" s="1" t="s">
        <v>2044</v>
      </c>
      <c r="BO664" s="2" t="s">
        <v>4063</v>
      </c>
      <c r="BP664" s="1" t="s">
        <v>1883</v>
      </c>
      <c r="BQ664" s="2" t="s">
        <v>4064</v>
      </c>
    </row>
    <row r="665" spans="1:69" ht="144" x14ac:dyDescent="0.45">
      <c r="A665" s="5">
        <v>664</v>
      </c>
      <c r="B665" s="8" t="s">
        <v>3970</v>
      </c>
      <c r="C665" s="6" t="s">
        <v>6851</v>
      </c>
      <c r="D665" s="7" t="s">
        <v>9794</v>
      </c>
      <c r="E665" s="1" t="s">
        <v>9018</v>
      </c>
      <c r="F665" s="1"/>
      <c r="G665" s="1"/>
      <c r="J665" s="1" t="s">
        <v>9795</v>
      </c>
      <c r="K665" s="2" t="s">
        <v>8619</v>
      </c>
      <c r="L665" s="2" t="s">
        <v>8620</v>
      </c>
      <c r="M665" s="1" t="s">
        <v>12224</v>
      </c>
      <c r="P665" s="7" t="s">
        <v>1241</v>
      </c>
      <c r="Q665" s="13"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R665" s="13"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S665" s="13"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T665" s="13"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AU665" s="15"/>
      <c r="AV665" s="1" t="s">
        <v>1502</v>
      </c>
      <c r="BG665" s="7" t="s">
        <v>1503</v>
      </c>
      <c r="BH665" s="1" t="s">
        <v>1947</v>
      </c>
      <c r="BI665" s="2" t="s">
        <v>8621</v>
      </c>
      <c r="BJ665" s="1" t="s">
        <v>4065</v>
      </c>
      <c r="BK665" s="2" t="s">
        <v>4066</v>
      </c>
      <c r="BL665" s="1" t="s">
        <v>1883</v>
      </c>
      <c r="BM665" s="2" t="s">
        <v>8622</v>
      </c>
    </row>
    <row r="666" spans="1:69" ht="162" x14ac:dyDescent="0.45">
      <c r="A666" s="5">
        <v>665</v>
      </c>
      <c r="B666" s="8" t="s">
        <v>3971</v>
      </c>
      <c r="C666" s="6" t="s">
        <v>6851</v>
      </c>
      <c r="D666" s="7" t="s">
        <v>9794</v>
      </c>
      <c r="E666" s="1" t="s">
        <v>9019</v>
      </c>
      <c r="F666" s="1"/>
      <c r="G666" s="1"/>
      <c r="J666" s="1" t="s">
        <v>9795</v>
      </c>
      <c r="K666" s="2" t="s">
        <v>8623</v>
      </c>
      <c r="L666" s="2" t="s">
        <v>8624</v>
      </c>
      <c r="M666" s="1" t="s">
        <v>12221</v>
      </c>
      <c r="P666" s="7" t="s">
        <v>1241</v>
      </c>
      <c r="Q666" s="13"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666" s="13"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S666" s="13"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T666" s="13"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U666" s="13"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AU666" s="15"/>
      <c r="AV666" s="1" t="s">
        <v>1502</v>
      </c>
      <c r="BG666" s="7" t="s">
        <v>1503</v>
      </c>
      <c r="BH666" s="1" t="s">
        <v>1947</v>
      </c>
      <c r="BI666" s="2" t="s">
        <v>4067</v>
      </c>
      <c r="BJ666" s="1" t="s">
        <v>1980</v>
      </c>
      <c r="BK666" s="2" t="s">
        <v>4068</v>
      </c>
      <c r="BL666" s="1" t="s">
        <v>2519</v>
      </c>
      <c r="BM666" s="2" t="s">
        <v>4069</v>
      </c>
      <c r="BN666" s="1" t="s">
        <v>1883</v>
      </c>
      <c r="BO666" s="2" t="s">
        <v>4070</v>
      </c>
    </row>
    <row r="667" spans="1:69" ht="126" x14ac:dyDescent="0.45">
      <c r="A667" s="5">
        <v>666</v>
      </c>
      <c r="B667" s="8" t="s">
        <v>3972</v>
      </c>
      <c r="C667" s="6" t="s">
        <v>6851</v>
      </c>
      <c r="D667" s="7" t="s">
        <v>9794</v>
      </c>
      <c r="E667" s="1" t="s">
        <v>46</v>
      </c>
      <c r="F667" s="1" t="s">
        <v>9020</v>
      </c>
      <c r="G667" s="1" t="s">
        <v>1580</v>
      </c>
      <c r="J667" s="1" t="s">
        <v>9795</v>
      </c>
      <c r="K667" s="2" t="s">
        <v>8647</v>
      </c>
      <c r="L667" s="2" t="s">
        <v>8648</v>
      </c>
      <c r="M667" s="1" t="s">
        <v>12230</v>
      </c>
      <c r="P667" s="7" t="s">
        <v>1241</v>
      </c>
      <c r="Q667" s="13" t="str">
        <f>INDEX($L:$L, MATCH("observe", $B:$B, 0))</f>
        <v>&lt;span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v>
      </c>
      <c r="R667" s="13"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S667" s="13"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AU667" s="15"/>
      <c r="AV667" s="1" t="s">
        <v>1502</v>
      </c>
      <c r="BG667" s="7" t="s">
        <v>1503</v>
      </c>
      <c r="BH667" s="1" t="s">
        <v>1947</v>
      </c>
      <c r="BI667" s="2" t="s">
        <v>8649</v>
      </c>
      <c r="BJ667" s="1" t="s">
        <v>2044</v>
      </c>
      <c r="BK667" s="2" t="s">
        <v>4071</v>
      </c>
      <c r="BL667" s="1" t="s">
        <v>4072</v>
      </c>
      <c r="BM667" s="2" t="s">
        <v>4073</v>
      </c>
    </row>
    <row r="668" spans="1:69" ht="126" x14ac:dyDescent="0.45">
      <c r="A668" s="5">
        <v>667</v>
      </c>
      <c r="B668" s="8" t="s">
        <v>447</v>
      </c>
      <c r="C668" s="6" t="s">
        <v>6851</v>
      </c>
      <c r="D668" s="7" t="s">
        <v>9794</v>
      </c>
      <c r="E668" s="6" t="s">
        <v>447</v>
      </c>
      <c r="F668" s="1"/>
      <c r="G668" s="1"/>
      <c r="J668" s="1" t="s">
        <v>9795</v>
      </c>
      <c r="K668" s="2" t="s">
        <v>8650</v>
      </c>
      <c r="L668" s="9" t="s">
        <v>8651</v>
      </c>
      <c r="P668" s="7" t="s">
        <v>1241</v>
      </c>
      <c r="AV668" s="1" t="s">
        <v>38</v>
      </c>
      <c r="BG668" s="7" t="s">
        <v>1503</v>
      </c>
      <c r="BH668" s="1" t="s">
        <v>1872</v>
      </c>
      <c r="BI668" s="1" t="s">
        <v>4074</v>
      </c>
      <c r="BJ668" s="1" t="s">
        <v>1875</v>
      </c>
      <c r="BK668" s="2" t="s">
        <v>4075</v>
      </c>
      <c r="BL668" s="1" t="s">
        <v>1877</v>
      </c>
      <c r="BM668" s="2" t="s">
        <v>4076</v>
      </c>
    </row>
    <row r="669" spans="1:69" ht="162" x14ac:dyDescent="0.45">
      <c r="A669" s="5">
        <v>668</v>
      </c>
      <c r="B669" s="8" t="s">
        <v>448</v>
      </c>
      <c r="C669" s="6" t="s">
        <v>6851</v>
      </c>
      <c r="D669" s="7" t="s">
        <v>9794</v>
      </c>
      <c r="E669" s="1" t="s">
        <v>1338</v>
      </c>
      <c r="F669" s="1" t="s">
        <v>1815</v>
      </c>
      <c r="G669" s="1" t="s">
        <v>1695</v>
      </c>
      <c r="J669" s="1" t="s">
        <v>9795</v>
      </c>
      <c r="K669" s="2"/>
      <c r="L669" s="9" t="s">
        <v>8652</v>
      </c>
      <c r="P669" s="7" t="s">
        <v>1241</v>
      </c>
      <c r="Q669" s="13" t="str">
        <f>INDEX($L:$L, MATCH("prey", $B:$B, 0))</f>
        <v>&lt;span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v>
      </c>
      <c r="AU669" s="15"/>
      <c r="AV669" s="1" t="s">
        <v>1502</v>
      </c>
      <c r="BG669" s="7" t="s">
        <v>1503</v>
      </c>
      <c r="BH669" s="1" t="s">
        <v>1976</v>
      </c>
      <c r="BI669" s="2" t="s">
        <v>8653</v>
      </c>
      <c r="BJ669" s="1" t="s">
        <v>1947</v>
      </c>
      <c r="BK669" s="2" t="s">
        <v>8654</v>
      </c>
      <c r="BL669" s="1" t="s">
        <v>1877</v>
      </c>
      <c r="BM669" s="2" t="s">
        <v>4077</v>
      </c>
    </row>
    <row r="670" spans="1:69" ht="54" x14ac:dyDescent="0.45">
      <c r="A670" s="5">
        <v>669</v>
      </c>
      <c r="B670" s="8" t="s">
        <v>449</v>
      </c>
      <c r="C670" s="6" t="s">
        <v>6851</v>
      </c>
      <c r="D670" s="7" t="s">
        <v>9794</v>
      </c>
      <c r="E670" s="1" t="s">
        <v>449</v>
      </c>
      <c r="F670" s="1"/>
      <c r="G670" s="1"/>
      <c r="J670" s="1" t="s">
        <v>9795</v>
      </c>
      <c r="K670" s="2" t="s">
        <v>8655</v>
      </c>
      <c r="L670" s="9" t="s">
        <v>8656</v>
      </c>
      <c r="P670" s="7" t="s">
        <v>1241</v>
      </c>
      <c r="AV670" s="1" t="s">
        <v>1502</v>
      </c>
      <c r="BG670" s="7" t="s">
        <v>1503</v>
      </c>
      <c r="BH670" s="1" t="s">
        <v>1872</v>
      </c>
      <c r="BI670" s="1" t="s">
        <v>4078</v>
      </c>
      <c r="BJ670" s="1" t="s">
        <v>1875</v>
      </c>
      <c r="BK670" s="1" t="s">
        <v>4079</v>
      </c>
    </row>
    <row r="671" spans="1:69" ht="144" x14ac:dyDescent="0.45">
      <c r="A671" s="5">
        <v>670</v>
      </c>
      <c r="B671" s="8" t="s">
        <v>450</v>
      </c>
      <c r="C671" s="6" t="s">
        <v>6851</v>
      </c>
      <c r="D671" s="7" t="s">
        <v>9794</v>
      </c>
      <c r="E671" s="6" t="s">
        <v>450</v>
      </c>
      <c r="F671" s="1"/>
      <c r="G671" s="1"/>
      <c r="J671" s="1" t="s">
        <v>9795</v>
      </c>
      <c r="K671" s="2" t="s">
        <v>8657</v>
      </c>
      <c r="L671" s="9" t="s">
        <v>8658</v>
      </c>
      <c r="P671" s="7" t="s">
        <v>1241</v>
      </c>
      <c r="AU671" s="15"/>
      <c r="AV671" s="1" t="s">
        <v>1502</v>
      </c>
      <c r="BG671" s="7" t="s">
        <v>1503</v>
      </c>
      <c r="BH671" s="1" t="s">
        <v>3250</v>
      </c>
      <c r="BI671" s="2" t="s">
        <v>4080</v>
      </c>
      <c r="BJ671" s="1" t="s">
        <v>1875</v>
      </c>
      <c r="BK671" s="2" t="s">
        <v>4081</v>
      </c>
      <c r="BL671" s="1" t="s">
        <v>1877</v>
      </c>
      <c r="BM671" s="2" t="s">
        <v>4082</v>
      </c>
    </row>
    <row r="672" spans="1:69" ht="126" x14ac:dyDescent="0.45">
      <c r="A672" s="5">
        <v>671</v>
      </c>
      <c r="B672" s="8" t="s">
        <v>4083</v>
      </c>
      <c r="C672" s="6" t="s">
        <v>6851</v>
      </c>
      <c r="D672" s="7" t="s">
        <v>9794</v>
      </c>
      <c r="E672" s="1" t="s">
        <v>4083</v>
      </c>
      <c r="F672" s="1"/>
      <c r="G672" s="1"/>
      <c r="J672" s="1" t="s">
        <v>9795</v>
      </c>
      <c r="K672" s="2" t="s">
        <v>8659</v>
      </c>
      <c r="L672" s="2" t="s">
        <v>8660</v>
      </c>
      <c r="P672" s="7" t="s">
        <v>1241</v>
      </c>
      <c r="Q672" s="13" t="str">
        <f>INDEX($L:$L, MATCH("false", $B:$B, 0))</f>
        <v>&lt;span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v>
      </c>
      <c r="AU672" s="15"/>
      <c r="AV672" s="1" t="s">
        <v>1502</v>
      </c>
      <c r="BG672" s="7" t="s">
        <v>1503</v>
      </c>
      <c r="BH672" s="1" t="s">
        <v>1947</v>
      </c>
      <c r="BI672" s="2" t="s">
        <v>4084</v>
      </c>
      <c r="BJ672" s="1" t="s">
        <v>2026</v>
      </c>
      <c r="BK672" s="1" t="s">
        <v>4085</v>
      </c>
      <c r="BL672" s="1" t="s">
        <v>1959</v>
      </c>
      <c r="BM672" s="1" t="s">
        <v>4086</v>
      </c>
      <c r="BN672" s="1" t="s">
        <v>1875</v>
      </c>
      <c r="BO672" s="2" t="s">
        <v>4087</v>
      </c>
      <c r="BP672" s="1" t="s">
        <v>1877</v>
      </c>
      <c r="BQ672" s="2" t="s">
        <v>4088</v>
      </c>
    </row>
    <row r="673" spans="1:69" ht="234" x14ac:dyDescent="0.45">
      <c r="A673" s="5">
        <v>672</v>
      </c>
      <c r="B673" s="8" t="s">
        <v>451</v>
      </c>
      <c r="C673" s="6" t="s">
        <v>6851</v>
      </c>
      <c r="D673" s="7" t="s">
        <v>9794</v>
      </c>
      <c r="E673" s="1" t="s">
        <v>1505</v>
      </c>
      <c r="F673" s="1" t="s">
        <v>1347</v>
      </c>
      <c r="G673" s="1"/>
      <c r="J673" s="1" t="s">
        <v>9795</v>
      </c>
      <c r="K673" s="2" t="s">
        <v>8661</v>
      </c>
      <c r="L673" s="4" t="s">
        <v>8662</v>
      </c>
      <c r="M673" s="1" t="s">
        <v>12218</v>
      </c>
      <c r="P673" s="7" t="s">
        <v>1241</v>
      </c>
      <c r="Q673" s="14"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673" s="14"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S673" s="13"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T673" s="13"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AU673" s="15"/>
      <c r="AV673" s="1" t="s">
        <v>1502</v>
      </c>
      <c r="BG673" s="7" t="s">
        <v>1503</v>
      </c>
      <c r="BH673" s="1" t="s">
        <v>1947</v>
      </c>
      <c r="BI673" s="2" t="s">
        <v>4089</v>
      </c>
      <c r="BJ673" s="1" t="s">
        <v>1967</v>
      </c>
      <c r="BK673" s="2" t="s">
        <v>4090</v>
      </c>
      <c r="BL673" s="1" t="s">
        <v>1996</v>
      </c>
      <c r="BM673" s="2" t="s">
        <v>4091</v>
      </c>
      <c r="BN673" s="1" t="s">
        <v>1877</v>
      </c>
      <c r="BO673" s="2" t="s">
        <v>4092</v>
      </c>
    </row>
    <row r="674" spans="1:69" ht="162" x14ac:dyDescent="0.45">
      <c r="A674" s="5">
        <v>673</v>
      </c>
      <c r="B674" s="8" t="s">
        <v>452</v>
      </c>
      <c r="C674" s="6" t="s">
        <v>6851</v>
      </c>
      <c r="D674" s="7" t="s">
        <v>9794</v>
      </c>
      <c r="E674" s="1" t="s">
        <v>452</v>
      </c>
      <c r="F674" s="1"/>
      <c r="G674" s="1"/>
      <c r="J674" s="1" t="s">
        <v>9795</v>
      </c>
      <c r="K674" s="2" t="s">
        <v>8663</v>
      </c>
      <c r="L674" s="3" t="s">
        <v>8707</v>
      </c>
      <c r="P674" s="7" t="s">
        <v>1241</v>
      </c>
      <c r="AV674" s="1" t="s">
        <v>1502</v>
      </c>
      <c r="BG674" s="7" t="s">
        <v>1503</v>
      </c>
      <c r="BH674" s="1" t="s">
        <v>1996</v>
      </c>
      <c r="BI674" s="1" t="s">
        <v>4093</v>
      </c>
      <c r="BJ674" s="1" t="s">
        <v>1877</v>
      </c>
      <c r="BK674" s="2" t="s">
        <v>8664</v>
      </c>
    </row>
    <row r="675" spans="1:69" ht="126" x14ac:dyDescent="0.45">
      <c r="A675" s="5">
        <v>674</v>
      </c>
      <c r="B675" s="8" t="s">
        <v>3973</v>
      </c>
      <c r="C675" s="6" t="s">
        <v>6851</v>
      </c>
      <c r="D675" s="7" t="s">
        <v>9794</v>
      </c>
      <c r="E675" s="1" t="s">
        <v>1308</v>
      </c>
      <c r="F675" s="1" t="s">
        <v>9021</v>
      </c>
      <c r="G675" s="1" t="s">
        <v>1755</v>
      </c>
      <c r="J675" s="1" t="s">
        <v>9795</v>
      </c>
      <c r="K675" s="2" t="s">
        <v>8665</v>
      </c>
      <c r="L675" s="2" t="s">
        <v>8666</v>
      </c>
      <c r="P675" s="7" t="s">
        <v>1241</v>
      </c>
      <c r="Q675" s="13"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R675" s="13"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AU675" s="15"/>
      <c r="AV675" s="1" t="s">
        <v>1502</v>
      </c>
      <c r="BG675" s="7" t="s">
        <v>1503</v>
      </c>
      <c r="BH675" s="1" t="s">
        <v>1947</v>
      </c>
      <c r="BI675" s="2" t="s">
        <v>4094</v>
      </c>
      <c r="BJ675" s="1" t="s">
        <v>2036</v>
      </c>
      <c r="BK675" s="2" t="s">
        <v>4095</v>
      </c>
      <c r="BL675" s="1" t="s">
        <v>1996</v>
      </c>
      <c r="BM675" s="1" t="s">
        <v>4096</v>
      </c>
      <c r="BN675" s="1" t="s">
        <v>1877</v>
      </c>
      <c r="BO675" s="2" t="s">
        <v>4097</v>
      </c>
    </row>
    <row r="676" spans="1:69" ht="126" x14ac:dyDescent="0.45">
      <c r="A676" s="5">
        <v>675</v>
      </c>
      <c r="B676" s="8" t="s">
        <v>453</v>
      </c>
      <c r="C676" s="6" t="s">
        <v>6851</v>
      </c>
      <c r="D676" s="7" t="s">
        <v>9794</v>
      </c>
      <c r="E676" s="1" t="s">
        <v>1928</v>
      </c>
      <c r="F676" s="1" t="s">
        <v>1698</v>
      </c>
      <c r="G676" s="1"/>
      <c r="J676" s="1" t="s">
        <v>9795</v>
      </c>
      <c r="K676" s="2"/>
      <c r="L676" s="3" t="s">
        <v>8708</v>
      </c>
      <c r="P676" s="7" t="s">
        <v>1241</v>
      </c>
      <c r="AU676" s="15"/>
      <c r="AV676" s="1" t="s">
        <v>1502</v>
      </c>
      <c r="BG676" s="7" t="s">
        <v>1503</v>
      </c>
      <c r="BH676" s="1" t="s">
        <v>1947</v>
      </c>
      <c r="BI676" s="2" t="s">
        <v>4098</v>
      </c>
      <c r="BJ676" s="1" t="s">
        <v>1959</v>
      </c>
      <c r="BK676" s="1" t="s">
        <v>4099</v>
      </c>
      <c r="BL676" s="1" t="s">
        <v>2114</v>
      </c>
      <c r="BM676" s="1" t="s">
        <v>4100</v>
      </c>
      <c r="BN676" s="1" t="s">
        <v>1875</v>
      </c>
      <c r="BO676" s="2" t="s">
        <v>4101</v>
      </c>
      <c r="BP676" s="1" t="s">
        <v>1877</v>
      </c>
      <c r="BQ676" s="2" t="s">
        <v>4102</v>
      </c>
    </row>
    <row r="677" spans="1:69" ht="234" x14ac:dyDescent="0.45">
      <c r="A677" s="5">
        <v>676</v>
      </c>
      <c r="B677" s="8" t="s">
        <v>454</v>
      </c>
      <c r="C677" s="6" t="s">
        <v>6851</v>
      </c>
      <c r="D677" s="7" t="s">
        <v>9794</v>
      </c>
      <c r="E677" s="1" t="s">
        <v>1667</v>
      </c>
      <c r="F677" s="1" t="s">
        <v>766</v>
      </c>
      <c r="G677" s="1" t="s">
        <v>1929</v>
      </c>
      <c r="J677" s="1" t="s">
        <v>9795</v>
      </c>
      <c r="K677" s="2"/>
      <c r="L677" s="3" t="s">
        <v>8760</v>
      </c>
      <c r="M677" s="1" t="s">
        <v>12266</v>
      </c>
      <c r="P677" s="7" t="s">
        <v>1241</v>
      </c>
      <c r="Q677" s="14"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R677" s="13"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U677" s="15"/>
      <c r="AV677" s="1" t="s">
        <v>1502</v>
      </c>
      <c r="BG677" s="7" t="s">
        <v>1503</v>
      </c>
      <c r="BH677" s="1" t="s">
        <v>2458</v>
      </c>
      <c r="BI677" s="2" t="s">
        <v>4103</v>
      </c>
      <c r="BJ677" s="1" t="s">
        <v>1947</v>
      </c>
      <c r="BK677" s="2" t="s">
        <v>4104</v>
      </c>
      <c r="BL677" s="1" t="s">
        <v>1959</v>
      </c>
      <c r="BM677" s="1" t="s">
        <v>4105</v>
      </c>
      <c r="BN677" s="1" t="s">
        <v>1875</v>
      </c>
      <c r="BO677" s="2" t="s">
        <v>4106</v>
      </c>
    </row>
    <row r="678" spans="1:69" ht="144" x14ac:dyDescent="0.45">
      <c r="A678" s="5">
        <v>677</v>
      </c>
      <c r="B678" s="8" t="s">
        <v>3974</v>
      </c>
      <c r="C678" s="6" t="s">
        <v>6851</v>
      </c>
      <c r="D678" s="7" t="s">
        <v>9794</v>
      </c>
      <c r="E678" s="1" t="s">
        <v>1467</v>
      </c>
      <c r="F678" s="1" t="s">
        <v>4107</v>
      </c>
      <c r="G678" s="1"/>
      <c r="J678" s="1" t="s">
        <v>9795</v>
      </c>
      <c r="K678" s="2"/>
      <c r="L678" s="3" t="s">
        <v>8761</v>
      </c>
      <c r="M678" s="1" t="s">
        <v>12226</v>
      </c>
      <c r="P678" s="7" t="s">
        <v>1241</v>
      </c>
      <c r="Q678"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678"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678"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678"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678"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678"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678"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678"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678"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678"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678"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678"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678"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678"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678"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678" s="15"/>
      <c r="AV678" s="1" t="s">
        <v>1502</v>
      </c>
      <c r="BG678" s="7" t="s">
        <v>1503</v>
      </c>
      <c r="BH678" s="1" t="s">
        <v>1947</v>
      </c>
      <c r="BI678" s="2" t="s">
        <v>4108</v>
      </c>
      <c r="BJ678" s="1" t="s">
        <v>1877</v>
      </c>
      <c r="BK678" s="2" t="s">
        <v>4109</v>
      </c>
    </row>
    <row r="679" spans="1:69" ht="162" x14ac:dyDescent="0.45">
      <c r="A679" s="5">
        <v>678</v>
      </c>
      <c r="B679" s="8" t="s">
        <v>3975</v>
      </c>
      <c r="C679" s="6" t="s">
        <v>6851</v>
      </c>
      <c r="D679" s="7" t="s">
        <v>9794</v>
      </c>
      <c r="E679" s="1" t="s">
        <v>1251</v>
      </c>
      <c r="F679" s="1" t="s">
        <v>9022</v>
      </c>
      <c r="G679" s="1" t="s">
        <v>1580</v>
      </c>
      <c r="J679" s="1" t="s">
        <v>9795</v>
      </c>
      <c r="K679" s="2"/>
      <c r="L679" s="3" t="s">
        <v>8762</v>
      </c>
      <c r="M679" s="1" t="s">
        <v>12218</v>
      </c>
      <c r="P679" s="7" t="s">
        <v>1241</v>
      </c>
      <c r="Q679" s="13"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679" s="13" t="str">
        <f>INDEX($L:$L, MATCH("discount", $B:$B, 0))</f>
        <v>&lt;span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v>
      </c>
      <c r="S679" s="13"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T679" s="13"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AU679" s="15"/>
      <c r="AV679" s="1" t="s">
        <v>1502</v>
      </c>
      <c r="BG679" s="7" t="s">
        <v>1503</v>
      </c>
      <c r="BH679" s="1" t="s">
        <v>1947</v>
      </c>
      <c r="BI679" s="2" t="s">
        <v>4110</v>
      </c>
      <c r="BJ679" s="1" t="s">
        <v>1959</v>
      </c>
      <c r="BK679" s="1" t="s">
        <v>4111</v>
      </c>
      <c r="BL679" s="1" t="s">
        <v>1875</v>
      </c>
      <c r="BM679" s="2" t="s">
        <v>4112</v>
      </c>
    </row>
    <row r="680" spans="1:69" ht="108" x14ac:dyDescent="0.45">
      <c r="A680" s="5">
        <v>679</v>
      </c>
      <c r="B680" s="8" t="s">
        <v>455</v>
      </c>
      <c r="C680" s="6" t="s">
        <v>6852</v>
      </c>
      <c r="D680" s="7" t="s">
        <v>9794</v>
      </c>
      <c r="E680" s="1" t="s">
        <v>1816</v>
      </c>
      <c r="F680" s="1" t="s">
        <v>49</v>
      </c>
      <c r="G680" s="1"/>
      <c r="J680" s="1" t="s">
        <v>9795</v>
      </c>
      <c r="K680" s="2" t="s">
        <v>8667</v>
      </c>
      <c r="L680" s="9" t="s">
        <v>8668</v>
      </c>
      <c r="P680" s="7" t="s">
        <v>1241</v>
      </c>
      <c r="Q680" s="13" t="str">
        <f>INDEX($L:$L, MATCH("proverb", $B:$B, 0))</f>
        <v>&lt;span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v>
      </c>
      <c r="AU680" s="15"/>
      <c r="AV680" s="1" t="s">
        <v>1502</v>
      </c>
      <c r="BG680" s="7" t="s">
        <v>1503</v>
      </c>
      <c r="BH680" s="1" t="s">
        <v>1947</v>
      </c>
      <c r="BI680" s="2" t="s">
        <v>4113</v>
      </c>
      <c r="BJ680" s="1" t="s">
        <v>2036</v>
      </c>
      <c r="BK680" s="2" t="s">
        <v>4114</v>
      </c>
      <c r="BL680" s="1" t="s">
        <v>1959</v>
      </c>
      <c r="BM680" s="1" t="s">
        <v>455</v>
      </c>
      <c r="BN680" s="1" t="s">
        <v>1875</v>
      </c>
      <c r="BO680" s="2" t="s">
        <v>4115</v>
      </c>
      <c r="BP680" s="1" t="s">
        <v>1877</v>
      </c>
      <c r="BQ680" s="2" t="s">
        <v>4116</v>
      </c>
    </row>
    <row r="681" spans="1:69" ht="108" x14ac:dyDescent="0.45">
      <c r="A681" s="5">
        <v>680</v>
      </c>
      <c r="B681" s="8" t="s">
        <v>456</v>
      </c>
      <c r="C681" s="6" t="s">
        <v>6852</v>
      </c>
      <c r="D681" s="7" t="s">
        <v>9794</v>
      </c>
      <c r="E681" s="1" t="s">
        <v>27</v>
      </c>
      <c r="F681" s="1" t="s">
        <v>1720</v>
      </c>
      <c r="G681" s="1" t="s">
        <v>4117</v>
      </c>
      <c r="J681" s="1" t="s">
        <v>9795</v>
      </c>
      <c r="K681" s="2" t="s">
        <v>8669</v>
      </c>
      <c r="L681" s="9" t="s">
        <v>8670</v>
      </c>
      <c r="P681" s="7" t="s">
        <v>1241</v>
      </c>
      <c r="Q681" s="13" t="str">
        <f>INDEX($L:$L, MATCH("interior", $B:$B, 0))</f>
        <v>&lt;span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v>
      </c>
      <c r="R681" s="13" t="str">
        <f>INDEX($L:$L, MATCH("intimate", $B:$B, 0))</f>
        <v>&lt;span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
&lt;span class="spacer"&gt;&lt;/span&gt;imate部分は、ultimate（究極の）でも使われている。ultimateは、ラテン語ulter（超える）に最上級imusが付いて、最も超えていることから「究極の」という意味になる。&lt;/span&gt;</v>
      </c>
      <c r="AU681" s="15"/>
      <c r="AV681" s="1" t="s">
        <v>1502</v>
      </c>
      <c r="BG681" s="7" t="s">
        <v>1503</v>
      </c>
      <c r="BH681" s="1" t="s">
        <v>1976</v>
      </c>
      <c r="BI681" s="2" t="s">
        <v>4118</v>
      </c>
      <c r="BJ681" s="1" t="s">
        <v>1947</v>
      </c>
      <c r="BK681" s="2" t="s">
        <v>4119</v>
      </c>
      <c r="BL681" s="1" t="s">
        <v>1967</v>
      </c>
      <c r="BM681" s="2" t="s">
        <v>4120</v>
      </c>
      <c r="BN681" s="1" t="s">
        <v>1875</v>
      </c>
      <c r="BO681" s="2" t="s">
        <v>4121</v>
      </c>
      <c r="BP681" s="1" t="s">
        <v>1877</v>
      </c>
      <c r="BQ681" s="2" t="s">
        <v>4122</v>
      </c>
    </row>
    <row r="682" spans="1:69" ht="126" x14ac:dyDescent="0.45">
      <c r="A682" s="5">
        <v>681</v>
      </c>
      <c r="B682" s="8" t="s">
        <v>457</v>
      </c>
      <c r="C682" s="6" t="s">
        <v>6852</v>
      </c>
      <c r="D682" s="7" t="s">
        <v>9794</v>
      </c>
      <c r="E682" s="6" t="s">
        <v>457</v>
      </c>
      <c r="F682" s="1"/>
      <c r="G682" s="1"/>
      <c r="J682" s="1" t="s">
        <v>9795</v>
      </c>
      <c r="K682" s="2"/>
      <c r="L682" s="3" t="s">
        <v>8709</v>
      </c>
      <c r="P682" s="7" t="s">
        <v>1241</v>
      </c>
      <c r="AU682" s="15"/>
      <c r="AV682" s="1" t="s">
        <v>1502</v>
      </c>
      <c r="BG682" s="7" t="s">
        <v>1503</v>
      </c>
      <c r="BH682" s="1" t="s">
        <v>1947</v>
      </c>
      <c r="BI682" s="2" t="s">
        <v>4123</v>
      </c>
      <c r="BJ682" s="1" t="s">
        <v>1959</v>
      </c>
      <c r="BK682" s="2" t="s">
        <v>4124</v>
      </c>
      <c r="BL682" s="1" t="s">
        <v>1875</v>
      </c>
      <c r="BM682" s="2" t="s">
        <v>4125</v>
      </c>
      <c r="BN682" s="1" t="s">
        <v>1877</v>
      </c>
      <c r="BO682" s="2" t="s">
        <v>4126</v>
      </c>
      <c r="BP682" s="1" t="s">
        <v>3497</v>
      </c>
      <c r="BQ682" s="1" t="s">
        <v>4127</v>
      </c>
    </row>
    <row r="683" spans="1:69" ht="108" x14ac:dyDescent="0.45">
      <c r="A683" s="5">
        <v>682</v>
      </c>
      <c r="B683" s="8" t="s">
        <v>3976</v>
      </c>
      <c r="C683" s="6" t="s">
        <v>6852</v>
      </c>
      <c r="D683" s="7" t="s">
        <v>9794</v>
      </c>
      <c r="E683" s="1" t="s">
        <v>1251</v>
      </c>
      <c r="F683" s="1" t="s">
        <v>4128</v>
      </c>
      <c r="G683" s="1"/>
      <c r="J683" s="1" t="s">
        <v>9795</v>
      </c>
      <c r="K683" s="2" t="s">
        <v>8671</v>
      </c>
      <c r="L683" s="2" t="s">
        <v>8672</v>
      </c>
      <c r="M683" s="1" t="s">
        <v>12220</v>
      </c>
      <c r="P683" s="7" t="s">
        <v>1241</v>
      </c>
      <c r="Q683" s="13"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683" s="13"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683" s="13"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683" s="13"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683" s="13"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V683" s="13"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683" s="13"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683" s="15"/>
      <c r="AV683" s="1" t="s">
        <v>1502</v>
      </c>
      <c r="BG683" s="7" t="s">
        <v>1503</v>
      </c>
      <c r="BH683" s="1" t="s">
        <v>1947</v>
      </c>
      <c r="BI683" s="2" t="s">
        <v>4129</v>
      </c>
      <c r="BJ683" s="1" t="s">
        <v>1875</v>
      </c>
      <c r="BK683" s="2" t="s">
        <v>4130</v>
      </c>
      <c r="BL683" s="1" t="s">
        <v>1877</v>
      </c>
      <c r="BM683" s="2" t="s">
        <v>4131</v>
      </c>
    </row>
    <row r="684" spans="1:69" ht="144" x14ac:dyDescent="0.45">
      <c r="A684" s="5">
        <v>683</v>
      </c>
      <c r="B684" s="8" t="s">
        <v>3977</v>
      </c>
      <c r="C684" s="6" t="s">
        <v>6852</v>
      </c>
      <c r="D684" s="7" t="s">
        <v>9794</v>
      </c>
      <c r="E684" s="1" t="s">
        <v>1470</v>
      </c>
      <c r="F684" s="1" t="s">
        <v>4132</v>
      </c>
      <c r="G684" s="1" t="s">
        <v>49</v>
      </c>
      <c r="J684" s="1" t="s">
        <v>9795</v>
      </c>
      <c r="K684" s="2" t="s">
        <v>8673</v>
      </c>
      <c r="L684" s="2" t="s">
        <v>8674</v>
      </c>
      <c r="M684" s="1" t="s">
        <v>12251</v>
      </c>
      <c r="P684" s="7" t="s">
        <v>1241</v>
      </c>
      <c r="Q684" s="13"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684" s="13"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S684"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684" s="13"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U684" s="13"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V684" s="13"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684" s="13"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X684" s="13"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Y684" s="13"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U684" s="15"/>
      <c r="AV684" s="1" t="s">
        <v>1502</v>
      </c>
      <c r="BG684" s="7" t="s">
        <v>1503</v>
      </c>
      <c r="BH684" s="1" t="s">
        <v>1947</v>
      </c>
      <c r="BI684" s="2" t="s">
        <v>4133</v>
      </c>
      <c r="BJ684" s="1" t="s">
        <v>1959</v>
      </c>
      <c r="BK684" s="1" t="s">
        <v>4134</v>
      </c>
      <c r="BL684" s="1" t="s">
        <v>1875</v>
      </c>
      <c r="BM684" s="2" t="s">
        <v>4135</v>
      </c>
    </row>
    <row r="685" spans="1:69" ht="234" x14ac:dyDescent="0.45">
      <c r="A685" s="5">
        <v>684</v>
      </c>
      <c r="B685" s="8" t="s">
        <v>458</v>
      </c>
      <c r="C685" s="6" t="s">
        <v>6852</v>
      </c>
      <c r="D685" s="7" t="s">
        <v>9794</v>
      </c>
      <c r="E685" s="1" t="s">
        <v>1817</v>
      </c>
      <c r="F685" s="1" t="s">
        <v>1551</v>
      </c>
      <c r="G685" s="1" t="s">
        <v>1818</v>
      </c>
      <c r="H685" s="1" t="s">
        <v>1819</v>
      </c>
      <c r="J685" s="1" t="s">
        <v>9795</v>
      </c>
      <c r="K685" s="2" t="s">
        <v>8675</v>
      </c>
      <c r="L685" s="9" t="s">
        <v>8676</v>
      </c>
      <c r="P685" s="7" t="s">
        <v>1241</v>
      </c>
      <c r="Q685" s="13" t="str">
        <f>INDEX($L:$L, MATCH("philosophy", $B:$B, 0))</f>
        <v>&lt;span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v>
      </c>
      <c r="AU685" s="15"/>
      <c r="AV685" s="1" t="s">
        <v>1502</v>
      </c>
      <c r="BG685" s="7" t="s">
        <v>1503</v>
      </c>
      <c r="BH685" s="1" t="s">
        <v>2458</v>
      </c>
      <c r="BI685" s="2" t="s">
        <v>8677</v>
      </c>
      <c r="BJ685" s="1" t="s">
        <v>1947</v>
      </c>
      <c r="BK685" s="2" t="s">
        <v>4136</v>
      </c>
      <c r="BL685" s="1" t="s">
        <v>1967</v>
      </c>
      <c r="BM685" s="2" t="s">
        <v>4137</v>
      </c>
      <c r="BN685" s="1" t="s">
        <v>1875</v>
      </c>
      <c r="BO685" s="2" t="s">
        <v>4138</v>
      </c>
      <c r="BP685" s="1" t="s">
        <v>1877</v>
      </c>
      <c r="BQ685" s="2" t="s">
        <v>4139</v>
      </c>
    </row>
    <row r="686" spans="1:69" ht="144" x14ac:dyDescent="0.45">
      <c r="A686" s="5">
        <v>685</v>
      </c>
      <c r="B686" s="8" t="s">
        <v>4140</v>
      </c>
      <c r="C686" s="6" t="s">
        <v>6852</v>
      </c>
      <c r="D686" s="7" t="s">
        <v>9794</v>
      </c>
      <c r="E686" s="1" t="s">
        <v>4141</v>
      </c>
      <c r="F686" s="1" t="s">
        <v>4142</v>
      </c>
      <c r="G686" s="1" t="s">
        <v>1698</v>
      </c>
      <c r="J686" s="1" t="s">
        <v>9795</v>
      </c>
      <c r="K686" s="2" t="s">
        <v>8678</v>
      </c>
      <c r="L686" s="2" t="s">
        <v>8679</v>
      </c>
      <c r="M686" s="1" t="s">
        <v>12188</v>
      </c>
      <c r="P686" s="7" t="s">
        <v>1241</v>
      </c>
      <c r="Q686" s="13"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686" s="13"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686" s="13"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T686" s="13"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686" s="13"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AU686" s="15"/>
      <c r="AV686" s="1" t="s">
        <v>1502</v>
      </c>
      <c r="BG686" s="7" t="s">
        <v>1503</v>
      </c>
      <c r="BH686" s="1" t="s">
        <v>1947</v>
      </c>
      <c r="BI686" s="2" t="s">
        <v>4143</v>
      </c>
      <c r="BJ686" s="1" t="s">
        <v>1875</v>
      </c>
      <c r="BK686" s="2" t="s">
        <v>4144</v>
      </c>
    </row>
    <row r="687" spans="1:69" ht="144" x14ac:dyDescent="0.45">
      <c r="A687" s="5">
        <v>686</v>
      </c>
      <c r="B687" s="8" t="s">
        <v>3978</v>
      </c>
      <c r="C687" s="6" t="s">
        <v>6852</v>
      </c>
      <c r="D687" s="7" t="s">
        <v>9794</v>
      </c>
      <c r="E687" s="1" t="s">
        <v>5229</v>
      </c>
      <c r="F687" s="1" t="s">
        <v>1580</v>
      </c>
      <c r="G687" s="1" t="s">
        <v>49</v>
      </c>
      <c r="J687" s="1" t="s">
        <v>9795</v>
      </c>
      <c r="K687" s="2" t="s">
        <v>8680</v>
      </c>
      <c r="L687" s="2" t="s">
        <v>8681</v>
      </c>
      <c r="M687" s="1" t="s">
        <v>12185</v>
      </c>
      <c r="P687" s="7" t="s">
        <v>1241</v>
      </c>
      <c r="Q687" s="13" t="str">
        <f>INDEX($L:$L, MATCH("reason", $B:$B, 0))</f>
        <v>&lt;span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v>
      </c>
      <c r="R687" s="13" t="str">
        <f>INDEX($L:$L, MATCH("ratio", $B:$B, 0))</f>
        <v>&lt;span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v>
      </c>
      <c r="AU687" s="15"/>
      <c r="AV687" s="1" t="s">
        <v>1502</v>
      </c>
      <c r="BG687" s="7" t="s">
        <v>1503</v>
      </c>
      <c r="BH687" s="1" t="s">
        <v>1947</v>
      </c>
      <c r="BI687" s="2" t="s">
        <v>5083</v>
      </c>
      <c r="BJ687" s="1" t="s">
        <v>1959</v>
      </c>
      <c r="BK687" s="2" t="s">
        <v>4145</v>
      </c>
      <c r="BL687" s="1" t="s">
        <v>1875</v>
      </c>
      <c r="BM687" s="2" t="s">
        <v>4146</v>
      </c>
    </row>
    <row r="688" spans="1:69" ht="252" x14ac:dyDescent="0.45">
      <c r="A688" s="5">
        <v>687</v>
      </c>
      <c r="B688" s="8" t="s">
        <v>459</v>
      </c>
      <c r="C688" s="6" t="s">
        <v>6852</v>
      </c>
      <c r="D688" s="7" t="s">
        <v>9794</v>
      </c>
      <c r="E688" s="1" t="s">
        <v>1251</v>
      </c>
      <c r="F688" s="1" t="s">
        <v>1930</v>
      </c>
      <c r="G688" s="1" t="s">
        <v>1931</v>
      </c>
      <c r="J688" s="1" t="s">
        <v>9795</v>
      </c>
      <c r="K688" s="2" t="s">
        <v>8682</v>
      </c>
      <c r="L688" s="2" t="s">
        <v>12162</v>
      </c>
      <c r="P688" s="7" t="s">
        <v>1241</v>
      </c>
      <c r="Q688" s="13" t="str">
        <f>INDEX($L:$L, MATCH("relieve", $B:$B, 0))</f>
        <v>&lt;span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v>
      </c>
      <c r="R688" s="13" t="str">
        <f>INDEX($L:$L, MATCH("irrelevant", $B:$B, 0))</f>
        <v>&lt;span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v>
      </c>
      <c r="AU688" s="15"/>
      <c r="AV688" s="1" t="s">
        <v>1502</v>
      </c>
      <c r="BG688" s="7" t="s">
        <v>1503</v>
      </c>
      <c r="BH688" s="1" t="s">
        <v>1947</v>
      </c>
      <c r="BI688" s="2" t="s">
        <v>4147</v>
      </c>
      <c r="BJ688" s="1" t="s">
        <v>1967</v>
      </c>
      <c r="BK688" s="1" t="s">
        <v>4148</v>
      </c>
      <c r="BL688" s="1" t="s">
        <v>1996</v>
      </c>
      <c r="BM688" s="1" t="s">
        <v>4149</v>
      </c>
      <c r="BN688" s="1" t="s">
        <v>1877</v>
      </c>
      <c r="BO688" s="2" t="s">
        <v>4150</v>
      </c>
    </row>
    <row r="689" spans="1:69" ht="144" x14ac:dyDescent="0.45">
      <c r="A689" s="5">
        <v>688</v>
      </c>
      <c r="B689" s="8" t="s">
        <v>4151</v>
      </c>
      <c r="C689" s="6" t="s">
        <v>6852</v>
      </c>
      <c r="D689" s="7" t="s">
        <v>9794</v>
      </c>
      <c r="E689" s="1" t="s">
        <v>1721</v>
      </c>
      <c r="F689" s="1" t="s">
        <v>4152</v>
      </c>
      <c r="G689" s="1"/>
      <c r="J689" s="1" t="s">
        <v>9795</v>
      </c>
      <c r="K689" s="2" t="s">
        <v>8683</v>
      </c>
      <c r="L689" s="3" t="s">
        <v>12152</v>
      </c>
      <c r="M689" s="1" t="s">
        <v>12203</v>
      </c>
      <c r="P689" s="7" t="s">
        <v>1241</v>
      </c>
      <c r="Q689" s="13" t="str">
        <f>INDEX($L:$L, MATCH("solve", $B:$B, 0))</f>
        <v>&lt;span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v>
      </c>
      <c r="R689" s="13" t="str">
        <f>INDEX($L:$L, MATCH("resolve", $B:$B, 0))</f>
        <v>&lt;span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v>
      </c>
      <c r="AU689" s="15"/>
      <c r="AV689" s="1" t="s">
        <v>1502</v>
      </c>
      <c r="BG689" s="7" t="s">
        <v>1503</v>
      </c>
      <c r="BH689" s="1" t="s">
        <v>1947</v>
      </c>
      <c r="BI689" s="2" t="s">
        <v>4153</v>
      </c>
      <c r="BJ689" s="1" t="s">
        <v>1875</v>
      </c>
      <c r="BK689" s="2" t="s">
        <v>4154</v>
      </c>
    </row>
    <row r="690" spans="1:69" ht="162" x14ac:dyDescent="0.45">
      <c r="A690" s="5">
        <v>689</v>
      </c>
      <c r="B690" s="8" t="s">
        <v>460</v>
      </c>
      <c r="C690" s="6" t="s">
        <v>6852</v>
      </c>
      <c r="D690" s="7" t="s">
        <v>9794</v>
      </c>
      <c r="E690" s="6" t="s">
        <v>460</v>
      </c>
      <c r="F690" s="1"/>
      <c r="G690" s="1"/>
      <c r="J690" s="1" t="s">
        <v>9795</v>
      </c>
      <c r="K690" s="2" t="s">
        <v>8684</v>
      </c>
      <c r="L690" s="3" t="s">
        <v>8763</v>
      </c>
      <c r="P690" s="7" t="s">
        <v>1241</v>
      </c>
      <c r="AU690" s="15"/>
      <c r="AV690" s="1" t="s">
        <v>1502</v>
      </c>
      <c r="BG690" s="7" t="s">
        <v>1503</v>
      </c>
      <c r="BH690" s="1" t="s">
        <v>1947</v>
      </c>
      <c r="BI690" s="2" t="s">
        <v>8685</v>
      </c>
      <c r="BJ690" s="1" t="s">
        <v>1959</v>
      </c>
      <c r="BK690" s="2" t="s">
        <v>460</v>
      </c>
      <c r="BL690" s="1" t="s">
        <v>1875</v>
      </c>
      <c r="BM690" s="2" t="s">
        <v>4155</v>
      </c>
      <c r="BN690" s="1" t="s">
        <v>1877</v>
      </c>
      <c r="BO690" s="2" t="s">
        <v>4156</v>
      </c>
    </row>
    <row r="691" spans="1:69" ht="126" x14ac:dyDescent="0.45">
      <c r="A691" s="5">
        <v>690</v>
      </c>
      <c r="B691" s="8" t="s">
        <v>1820</v>
      </c>
      <c r="C691" s="6" t="s">
        <v>6852</v>
      </c>
      <c r="D691" s="7" t="s">
        <v>9794</v>
      </c>
      <c r="E691" s="1" t="s">
        <v>1325</v>
      </c>
      <c r="F691" s="1" t="s">
        <v>1932</v>
      </c>
      <c r="G691" s="1" t="s">
        <v>1698</v>
      </c>
      <c r="J691" s="1" t="s">
        <v>9795</v>
      </c>
      <c r="K691" s="2" t="s">
        <v>8686</v>
      </c>
      <c r="L691" s="9" t="s">
        <v>8687</v>
      </c>
      <c r="P691" s="7" t="s">
        <v>1241</v>
      </c>
      <c r="AU691" s="15"/>
      <c r="AV691" s="1" t="s">
        <v>1502</v>
      </c>
      <c r="BG691" s="7" t="s">
        <v>1503</v>
      </c>
      <c r="BH691" s="1" t="s">
        <v>1947</v>
      </c>
      <c r="BI691" s="2" t="s">
        <v>4157</v>
      </c>
      <c r="BJ691" s="1" t="s">
        <v>1959</v>
      </c>
      <c r="BK691" s="2" t="s">
        <v>4158</v>
      </c>
      <c r="BL691" s="1" t="s">
        <v>1875</v>
      </c>
      <c r="BM691" s="2" t="s">
        <v>4159</v>
      </c>
      <c r="BN691" s="1" t="s">
        <v>3497</v>
      </c>
      <c r="BO691" s="2" t="s">
        <v>4160</v>
      </c>
    </row>
    <row r="692" spans="1:69" ht="324" x14ac:dyDescent="0.45">
      <c r="A692" s="5">
        <v>691</v>
      </c>
      <c r="B692" s="8" t="s">
        <v>461</v>
      </c>
      <c r="C692" s="6" t="s">
        <v>6852</v>
      </c>
      <c r="D692" s="7" t="s">
        <v>9794</v>
      </c>
      <c r="E692" s="1" t="s">
        <v>27</v>
      </c>
      <c r="F692" s="1" t="s">
        <v>925</v>
      </c>
      <c r="G692" s="1"/>
      <c r="J692" s="1" t="s">
        <v>9795</v>
      </c>
      <c r="K692" s="2" t="s">
        <v>8688</v>
      </c>
      <c r="L692" s="3" t="s">
        <v>8764</v>
      </c>
      <c r="M692" s="1" t="s">
        <v>12171</v>
      </c>
      <c r="P692" s="7" t="s">
        <v>1241</v>
      </c>
      <c r="Q692" s="14"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692" s="14"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692" s="14"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692" s="14"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U692" s="14"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692"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U692" s="15"/>
      <c r="AV692" s="1" t="s">
        <v>1502</v>
      </c>
      <c r="BG692" s="7" t="s">
        <v>1503</v>
      </c>
      <c r="BH692" s="1" t="s">
        <v>1947</v>
      </c>
      <c r="BI692" s="2" t="s">
        <v>8689</v>
      </c>
      <c r="BJ692" s="1" t="s">
        <v>1959</v>
      </c>
      <c r="BK692" s="2" t="s">
        <v>4161</v>
      </c>
      <c r="BL692" s="1" t="s">
        <v>1875</v>
      </c>
      <c r="BM692" s="2" t="s">
        <v>4162</v>
      </c>
      <c r="BO692" s="2"/>
    </row>
    <row r="693" spans="1:69" ht="108" x14ac:dyDescent="0.45">
      <c r="A693" s="5">
        <v>692</v>
      </c>
      <c r="B693" s="8" t="s">
        <v>462</v>
      </c>
      <c r="C693" s="6" t="s">
        <v>6852</v>
      </c>
      <c r="D693" s="7" t="s">
        <v>9794</v>
      </c>
      <c r="E693" s="1" t="s">
        <v>7</v>
      </c>
      <c r="F693" s="1" t="s">
        <v>1593</v>
      </c>
      <c r="G693" s="1" t="s">
        <v>1821</v>
      </c>
      <c r="J693" s="1" t="s">
        <v>9795</v>
      </c>
      <c r="K693" s="2" t="s">
        <v>8690</v>
      </c>
      <c r="L693" s="4" t="s">
        <v>8691</v>
      </c>
      <c r="P693" s="7" t="s">
        <v>1241</v>
      </c>
      <c r="Q693" s="13"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AV693" s="1" t="s">
        <v>1502</v>
      </c>
      <c r="BG693" s="7" t="s">
        <v>1503</v>
      </c>
      <c r="BH693" s="1" t="s">
        <v>1872</v>
      </c>
      <c r="BI693" s="1" t="s">
        <v>1873</v>
      </c>
      <c r="BJ693" s="1" t="s">
        <v>2044</v>
      </c>
      <c r="BK693" s="2" t="s">
        <v>4164</v>
      </c>
      <c r="BL693" s="1" t="s">
        <v>1883</v>
      </c>
      <c r="BM693" s="2" t="s">
        <v>4165</v>
      </c>
    </row>
    <row r="694" spans="1:69" ht="90" x14ac:dyDescent="0.45">
      <c r="A694" s="5">
        <v>693</v>
      </c>
      <c r="B694" s="8" t="s">
        <v>463</v>
      </c>
      <c r="C694" s="6" t="s">
        <v>6852</v>
      </c>
      <c r="D694" s="7" t="s">
        <v>9794</v>
      </c>
      <c r="E694" s="6" t="s">
        <v>463</v>
      </c>
      <c r="F694" s="1"/>
      <c r="G694" s="1"/>
      <c r="J694" s="1" t="s">
        <v>9795</v>
      </c>
      <c r="K694" s="2" t="s">
        <v>4166</v>
      </c>
      <c r="L694" s="9" t="s">
        <v>8692</v>
      </c>
      <c r="P694" s="7" t="s">
        <v>1241</v>
      </c>
      <c r="AU694" s="15"/>
      <c r="AV694" s="1" t="s">
        <v>1502</v>
      </c>
      <c r="BG694" s="7" t="s">
        <v>1503</v>
      </c>
      <c r="BH694" s="1" t="s">
        <v>1872</v>
      </c>
      <c r="BI694" s="2" t="s">
        <v>4167</v>
      </c>
      <c r="BJ694" s="1" t="s">
        <v>1875</v>
      </c>
      <c r="BK694" s="2" t="s">
        <v>4168</v>
      </c>
    </row>
    <row r="695" spans="1:69" ht="144" x14ac:dyDescent="0.45">
      <c r="A695" s="5">
        <v>694</v>
      </c>
      <c r="B695" s="8" t="s">
        <v>4169</v>
      </c>
      <c r="C695" s="6" t="s">
        <v>6852</v>
      </c>
      <c r="D695" s="7" t="s">
        <v>9794</v>
      </c>
      <c r="E695" s="1" t="s">
        <v>1261</v>
      </c>
      <c r="F695" s="1" t="s">
        <v>9023</v>
      </c>
      <c r="G695" s="1"/>
      <c r="J695" s="1" t="s">
        <v>9795</v>
      </c>
      <c r="K695" s="2" t="s">
        <v>8693</v>
      </c>
      <c r="L695" s="2" t="s">
        <v>8694</v>
      </c>
      <c r="M695" s="1" t="s">
        <v>12246</v>
      </c>
      <c r="P695" s="7" t="s">
        <v>1241</v>
      </c>
      <c r="Q695" s="13"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695" s="13"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S695" s="13"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T695" s="13"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U695" s="13"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AU695" s="15"/>
      <c r="AV695" s="1" t="s">
        <v>1502</v>
      </c>
      <c r="BG695" s="7" t="s">
        <v>1503</v>
      </c>
      <c r="BH695" s="1" t="s">
        <v>1947</v>
      </c>
      <c r="BI695" s="2" t="s">
        <v>8695</v>
      </c>
      <c r="BJ695" s="1" t="s">
        <v>1875</v>
      </c>
      <c r="BK695" s="2" t="s">
        <v>4170</v>
      </c>
      <c r="BL695" s="1" t="s">
        <v>1877</v>
      </c>
      <c r="BM695" s="2" t="s">
        <v>4171</v>
      </c>
    </row>
    <row r="696" spans="1:69" ht="162" x14ac:dyDescent="0.45">
      <c r="A696" s="5">
        <v>695</v>
      </c>
      <c r="B696" s="8" t="s">
        <v>464</v>
      </c>
      <c r="C696" s="6" t="s">
        <v>6852</v>
      </c>
      <c r="D696" s="7" t="s">
        <v>9794</v>
      </c>
      <c r="E696" s="6" t="s">
        <v>1933</v>
      </c>
      <c r="F696" s="1" t="s">
        <v>1934</v>
      </c>
      <c r="G696" s="1"/>
      <c r="J696" s="1" t="s">
        <v>9795</v>
      </c>
      <c r="K696" s="2" t="s">
        <v>8696</v>
      </c>
      <c r="L696" s="9" t="s">
        <v>8697</v>
      </c>
      <c r="P696" s="7" t="s">
        <v>1241</v>
      </c>
      <c r="AU696" s="15"/>
      <c r="AV696" s="1" t="s">
        <v>1502</v>
      </c>
      <c r="BG696" s="7" t="s">
        <v>1503</v>
      </c>
      <c r="BH696" s="1" t="s">
        <v>4000</v>
      </c>
      <c r="BI696" s="2" t="s">
        <v>9252</v>
      </c>
      <c r="BJ696" s="1" t="s">
        <v>2268</v>
      </c>
      <c r="BK696" s="1" t="s">
        <v>4172</v>
      </c>
      <c r="BL696" s="1" t="s">
        <v>1959</v>
      </c>
      <c r="BM696" s="2" t="s">
        <v>4173</v>
      </c>
      <c r="BN696" s="1" t="s">
        <v>1875</v>
      </c>
      <c r="BO696" s="1" t="s">
        <v>4174</v>
      </c>
      <c r="BP696" s="1" t="s">
        <v>1877</v>
      </c>
      <c r="BQ696" s="2" t="s">
        <v>4175</v>
      </c>
    </row>
    <row r="697" spans="1:69" ht="108" x14ac:dyDescent="0.45">
      <c r="A697" s="5">
        <v>696</v>
      </c>
      <c r="B697" s="8" t="s">
        <v>465</v>
      </c>
      <c r="C697" s="6" t="s">
        <v>6852</v>
      </c>
      <c r="D697" s="7" t="s">
        <v>9794</v>
      </c>
      <c r="E697" s="6" t="s">
        <v>465</v>
      </c>
      <c r="F697" s="1"/>
      <c r="G697" s="1"/>
      <c r="J697" s="1" t="s">
        <v>9795</v>
      </c>
      <c r="K697" s="2" t="s">
        <v>8698</v>
      </c>
      <c r="L697" s="9" t="s">
        <v>8699</v>
      </c>
      <c r="P697" s="7" t="s">
        <v>1241</v>
      </c>
      <c r="Q697" s="15"/>
      <c r="AV697" s="1" t="s">
        <v>1502</v>
      </c>
      <c r="BG697" s="7" t="s">
        <v>1503</v>
      </c>
      <c r="BH697" s="1" t="s">
        <v>1976</v>
      </c>
      <c r="BI697" s="1" t="s">
        <v>4176</v>
      </c>
      <c r="BJ697" s="1" t="s">
        <v>1872</v>
      </c>
      <c r="BK697" s="1" t="s">
        <v>4177</v>
      </c>
      <c r="BL697" s="1" t="s">
        <v>1875</v>
      </c>
      <c r="BM697" s="2" t="s">
        <v>4178</v>
      </c>
      <c r="BN697" s="1" t="s">
        <v>1877</v>
      </c>
      <c r="BO697" s="2" t="s">
        <v>4179</v>
      </c>
      <c r="BP697" s="1" t="s">
        <v>3497</v>
      </c>
      <c r="BQ697" s="2" t="s">
        <v>4180</v>
      </c>
    </row>
    <row r="698" spans="1:69" ht="144" x14ac:dyDescent="0.45">
      <c r="A698" s="5">
        <v>697</v>
      </c>
      <c r="B698" s="8" t="s">
        <v>466</v>
      </c>
      <c r="C698" s="6" t="s">
        <v>6852</v>
      </c>
      <c r="D698" s="7" t="s">
        <v>9794</v>
      </c>
      <c r="E698" s="6" t="s">
        <v>466</v>
      </c>
      <c r="F698" s="1"/>
      <c r="G698" s="1"/>
      <c r="J698" s="1" t="s">
        <v>9795</v>
      </c>
      <c r="K698" s="2"/>
      <c r="L698" s="9" t="s">
        <v>8700</v>
      </c>
      <c r="P698" s="7" t="s">
        <v>1241</v>
      </c>
      <c r="AU698" s="15"/>
      <c r="AV698" s="1" t="s">
        <v>1502</v>
      </c>
      <c r="BG698" s="7" t="s">
        <v>1503</v>
      </c>
      <c r="BH698" s="1" t="s">
        <v>1947</v>
      </c>
      <c r="BI698" s="2" t="s">
        <v>4181</v>
      </c>
      <c r="BJ698" s="1" t="s">
        <v>1959</v>
      </c>
      <c r="BK698" s="2" t="s">
        <v>4182</v>
      </c>
      <c r="BL698" s="1" t="s">
        <v>1875</v>
      </c>
      <c r="BM698" s="2" t="s">
        <v>4183</v>
      </c>
    </row>
    <row r="699" spans="1:69" ht="90" x14ac:dyDescent="0.45">
      <c r="A699" s="5">
        <v>698</v>
      </c>
      <c r="B699" s="8" t="s">
        <v>467</v>
      </c>
      <c r="C699" s="6" t="s">
        <v>6852</v>
      </c>
      <c r="D699" s="7" t="s">
        <v>9794</v>
      </c>
      <c r="E699" s="1" t="s">
        <v>467</v>
      </c>
      <c r="F699" s="1"/>
      <c r="G699" s="1"/>
      <c r="J699" s="1" t="s">
        <v>9795</v>
      </c>
      <c r="K699" s="2"/>
      <c r="L699" s="9" t="s">
        <v>8701</v>
      </c>
      <c r="P699" s="7" t="s">
        <v>1241</v>
      </c>
      <c r="AU699" s="15"/>
      <c r="AV699" s="1" t="s">
        <v>1502</v>
      </c>
      <c r="BG699" s="7" t="s">
        <v>1503</v>
      </c>
      <c r="BH699" s="1" t="s">
        <v>1947</v>
      </c>
      <c r="BI699" s="2" t="s">
        <v>4184</v>
      </c>
      <c r="BJ699" s="1" t="s">
        <v>1959</v>
      </c>
      <c r="BK699" s="2" t="s">
        <v>4185</v>
      </c>
      <c r="BL699" s="1" t="s">
        <v>1875</v>
      </c>
      <c r="BM699" s="2" t="s">
        <v>4186</v>
      </c>
    </row>
    <row r="700" spans="1:69" ht="409.6" x14ac:dyDescent="0.45">
      <c r="A700" s="5">
        <v>699</v>
      </c>
      <c r="B700" s="8" t="s">
        <v>468</v>
      </c>
      <c r="C700" s="6" t="s">
        <v>6852</v>
      </c>
      <c r="D700" s="7" t="s">
        <v>9794</v>
      </c>
      <c r="E700" s="1" t="s">
        <v>4289</v>
      </c>
      <c r="F700" s="1" t="s">
        <v>49</v>
      </c>
      <c r="G700" s="1"/>
      <c r="J700" s="1" t="s">
        <v>9795</v>
      </c>
      <c r="K700" s="2" t="s">
        <v>9080</v>
      </c>
      <c r="L700" s="3" t="s">
        <v>9967</v>
      </c>
      <c r="P700" s="7" t="s">
        <v>1241</v>
      </c>
      <c r="AU700" s="15"/>
      <c r="AV700" s="1" t="s">
        <v>1502</v>
      </c>
      <c r="BG700" s="7" t="s">
        <v>1503</v>
      </c>
      <c r="BH700" s="1" t="s">
        <v>2458</v>
      </c>
      <c r="BI700" s="2" t="s">
        <v>4322</v>
      </c>
      <c r="BJ700" s="1" t="s">
        <v>1947</v>
      </c>
      <c r="BK700" s="1" t="s">
        <v>4187</v>
      </c>
      <c r="BL700" s="1" t="s">
        <v>1967</v>
      </c>
      <c r="BM700" s="1" t="s">
        <v>4188</v>
      </c>
      <c r="BN700" s="1" t="s">
        <v>1875</v>
      </c>
      <c r="BO700" s="2" t="s">
        <v>4191</v>
      </c>
      <c r="BP700" s="1" t="s">
        <v>1877</v>
      </c>
      <c r="BQ700" s="2" t="s">
        <v>4189</v>
      </c>
    </row>
    <row r="701" spans="1:69" ht="72" x14ac:dyDescent="0.45">
      <c r="A701" s="5">
        <v>700</v>
      </c>
      <c r="B701" s="8" t="s">
        <v>469</v>
      </c>
      <c r="C701" s="6" t="s">
        <v>6854</v>
      </c>
      <c r="D701" s="7" t="s">
        <v>9794</v>
      </c>
      <c r="E701" s="6" t="s">
        <v>469</v>
      </c>
      <c r="F701" s="1"/>
      <c r="G701" s="1"/>
      <c r="J701" s="1" t="s">
        <v>9795</v>
      </c>
      <c r="L701" s="9" t="s">
        <v>8702</v>
      </c>
      <c r="P701" s="7" t="s">
        <v>1241</v>
      </c>
      <c r="AU701" s="15"/>
      <c r="AV701" s="1" t="s">
        <v>1502</v>
      </c>
      <c r="BG701" s="7" t="s">
        <v>1503</v>
      </c>
      <c r="BH701" s="1" t="s">
        <v>1872</v>
      </c>
      <c r="BI701" s="2" t="s">
        <v>4190</v>
      </c>
    </row>
    <row r="702" spans="1:69" ht="180" x14ac:dyDescent="0.45">
      <c r="A702" s="5">
        <v>701</v>
      </c>
      <c r="B702" s="8" t="s">
        <v>470</v>
      </c>
      <c r="C702" s="6" t="s">
        <v>1816</v>
      </c>
      <c r="D702" s="7" t="s">
        <v>9794</v>
      </c>
      <c r="E702" s="1" t="s">
        <v>4192</v>
      </c>
      <c r="F702" s="1" t="s">
        <v>4193</v>
      </c>
      <c r="G702" s="1"/>
      <c r="J702" s="1" t="s">
        <v>9795</v>
      </c>
      <c r="K702" s="2"/>
      <c r="L702" s="3" t="s">
        <v>8766</v>
      </c>
      <c r="M702" s="1" t="s">
        <v>12252</v>
      </c>
      <c r="P702" s="7" t="s">
        <v>1241</v>
      </c>
      <c r="Q702" s="13"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R702" s="13"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S702" s="13"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T702" s="13"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U702" s="13" t="str">
        <f>INDEX($L:$L, MATCH("possible", $B:$B, 0))</f>
        <v>&lt;span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v>
      </c>
      <c r="V702" s="13" t="str">
        <f>INDEX($L:$L, MATCH("potential", $B:$B, 0))</f>
        <v>&lt;span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v>
      </c>
      <c r="AU702" s="15"/>
      <c r="AV702" s="1" t="s">
        <v>1502</v>
      </c>
      <c r="BG702" s="7" t="s">
        <v>1503</v>
      </c>
      <c r="BH702" s="1" t="s">
        <v>1947</v>
      </c>
      <c r="BI702" s="2" t="s">
        <v>4194</v>
      </c>
      <c r="BJ702" s="1" t="s">
        <v>1959</v>
      </c>
      <c r="BK702" s="2" t="s">
        <v>4195</v>
      </c>
      <c r="BL702" s="1" t="s">
        <v>1875</v>
      </c>
      <c r="BM702" s="2" t="s">
        <v>4196</v>
      </c>
      <c r="BN702" s="1" t="s">
        <v>1877</v>
      </c>
      <c r="BO702" s="2" t="s">
        <v>4197</v>
      </c>
    </row>
    <row r="703" spans="1:69" ht="90" x14ac:dyDescent="0.45">
      <c r="A703" s="5">
        <v>702</v>
      </c>
      <c r="B703" s="8" t="s">
        <v>471</v>
      </c>
      <c r="C703" s="6" t="s">
        <v>1816</v>
      </c>
      <c r="D703" s="7" t="s">
        <v>9794</v>
      </c>
      <c r="E703" s="1" t="s">
        <v>9024</v>
      </c>
      <c r="F703" s="1" t="s">
        <v>9025</v>
      </c>
      <c r="G703" s="1"/>
      <c r="J703" s="1" t="s">
        <v>9795</v>
      </c>
      <c r="K703" s="2"/>
      <c r="L703" s="3" t="s">
        <v>8767</v>
      </c>
      <c r="P703" s="7" t="s">
        <v>1241</v>
      </c>
      <c r="Q703" s="13" t="str">
        <f>INDEX($L:$L, MATCH("domestic", $B:$B, 0))</f>
        <v>&lt;span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v>
      </c>
      <c r="AU703" s="15"/>
      <c r="AV703" s="1" t="s">
        <v>1502</v>
      </c>
      <c r="BG703" s="7" t="s">
        <v>1503</v>
      </c>
      <c r="BH703" s="1" t="s">
        <v>1947</v>
      </c>
      <c r="BI703" s="2" t="s">
        <v>8710</v>
      </c>
      <c r="BJ703" s="1" t="s">
        <v>1877</v>
      </c>
      <c r="BK703" s="2" t="s">
        <v>4198</v>
      </c>
    </row>
    <row r="704" spans="1:69" ht="90" x14ac:dyDescent="0.45">
      <c r="A704" s="5">
        <v>703</v>
      </c>
      <c r="B704" s="8" t="s">
        <v>472</v>
      </c>
      <c r="C704" s="6" t="s">
        <v>1816</v>
      </c>
      <c r="D704" s="7" t="s">
        <v>9794</v>
      </c>
      <c r="E704" s="1" t="s">
        <v>1822</v>
      </c>
      <c r="F704" s="1" t="s">
        <v>1823</v>
      </c>
      <c r="G704" s="1"/>
      <c r="J704" s="1" t="s">
        <v>9795</v>
      </c>
      <c r="K704" s="2" t="s">
        <v>8711</v>
      </c>
      <c r="L704" s="9" t="s">
        <v>8712</v>
      </c>
      <c r="P704" s="7" t="s">
        <v>1241</v>
      </c>
      <c r="Q704" s="13"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704" s="13"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S704" s="13"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T704" s="13"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U704"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704"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W704" s="13"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AV704" s="1" t="s">
        <v>1502</v>
      </c>
      <c r="BG704" s="7" t="s">
        <v>1503</v>
      </c>
      <c r="BH704" s="1" t="s">
        <v>1976</v>
      </c>
      <c r="BI704" s="1" t="s">
        <v>4199</v>
      </c>
      <c r="BJ704" s="1" t="s">
        <v>1959</v>
      </c>
      <c r="BK704" s="2" t="s">
        <v>9253</v>
      </c>
      <c r="BL704" s="1" t="s">
        <v>1875</v>
      </c>
      <c r="BM704" s="2" t="s">
        <v>4200</v>
      </c>
      <c r="BN704" s="1" t="s">
        <v>1877</v>
      </c>
      <c r="BO704" s="2" t="s">
        <v>4201</v>
      </c>
    </row>
    <row r="705" spans="1:71" ht="90" x14ac:dyDescent="0.45">
      <c r="A705" s="5">
        <v>704</v>
      </c>
      <c r="B705" s="8" t="s">
        <v>473</v>
      </c>
      <c r="C705" s="6" t="s">
        <v>1816</v>
      </c>
      <c r="D705" s="7" t="s">
        <v>9794</v>
      </c>
      <c r="E705" s="6" t="s">
        <v>473</v>
      </c>
      <c r="F705" s="1"/>
      <c r="G705" s="1"/>
      <c r="J705" s="1" t="s">
        <v>9795</v>
      </c>
      <c r="K705" s="1" t="s">
        <v>1824</v>
      </c>
      <c r="L705" s="9" t="s">
        <v>8713</v>
      </c>
      <c r="P705" s="7" t="s">
        <v>1241</v>
      </c>
      <c r="Q705" s="13" t="str">
        <f>INDEX($L:$L, MATCH("mild", $B:$B, 0))</f>
        <v>&lt;span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v>
      </c>
      <c r="AV705" s="1" t="s">
        <v>1502</v>
      </c>
      <c r="BG705" s="7" t="s">
        <v>1503</v>
      </c>
      <c r="BH705" s="1" t="s">
        <v>1976</v>
      </c>
      <c r="BI705" s="1" t="s">
        <v>4202</v>
      </c>
      <c r="BJ705" s="1" t="s">
        <v>1872</v>
      </c>
      <c r="BK705" s="1" t="s">
        <v>4203</v>
      </c>
      <c r="BL705" s="1" t="s">
        <v>1875</v>
      </c>
      <c r="BM705" s="2" t="s">
        <v>4204</v>
      </c>
      <c r="BN705" s="1" t="s">
        <v>1877</v>
      </c>
      <c r="BO705" s="2" t="s">
        <v>4205</v>
      </c>
    </row>
    <row r="706" spans="1:71" ht="198" x14ac:dyDescent="0.45">
      <c r="A706" s="5">
        <v>705</v>
      </c>
      <c r="B706" s="8" t="s">
        <v>474</v>
      </c>
      <c r="C706" s="6" t="s">
        <v>1816</v>
      </c>
      <c r="D706" s="7" t="s">
        <v>9794</v>
      </c>
      <c r="E706" s="1" t="s">
        <v>1825</v>
      </c>
      <c r="F706" s="1" t="s">
        <v>9026</v>
      </c>
      <c r="G706" s="1"/>
      <c r="J706" s="1" t="s">
        <v>9795</v>
      </c>
      <c r="K706" s="2"/>
      <c r="L706" s="3" t="s">
        <v>8768</v>
      </c>
      <c r="P706" s="7" t="s">
        <v>1241</v>
      </c>
      <c r="Q706" s="13" t="str">
        <f>INDEX($L:$L, MATCH("barrier", $B:$B, 0))</f>
        <v>&lt;span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v>
      </c>
      <c r="AV706" s="1" t="s">
        <v>1502</v>
      </c>
      <c r="BG706" s="7" t="s">
        <v>1503</v>
      </c>
      <c r="BH706" s="1" t="s">
        <v>1976</v>
      </c>
      <c r="BI706" s="1" t="s">
        <v>4206</v>
      </c>
      <c r="BJ706" s="1" t="s">
        <v>2026</v>
      </c>
      <c r="BK706" s="1" t="s">
        <v>4207</v>
      </c>
      <c r="BL706" s="1" t="s">
        <v>1994</v>
      </c>
      <c r="BM706" s="2" t="s">
        <v>4208</v>
      </c>
      <c r="BN706" s="1" t="s">
        <v>1996</v>
      </c>
      <c r="BO706" s="2" t="s">
        <v>4209</v>
      </c>
      <c r="BP706" s="1" t="s">
        <v>1877</v>
      </c>
      <c r="BQ706" s="2" t="s">
        <v>4210</v>
      </c>
    </row>
    <row r="707" spans="1:71" ht="198" x14ac:dyDescent="0.45">
      <c r="A707" s="5">
        <v>706</v>
      </c>
      <c r="B707" s="8" t="s">
        <v>475</v>
      </c>
      <c r="C707" s="6" t="s">
        <v>1816</v>
      </c>
      <c r="D707" s="7" t="s">
        <v>9794</v>
      </c>
      <c r="E707" s="1" t="s">
        <v>1505</v>
      </c>
      <c r="F707" s="1" t="s">
        <v>1935</v>
      </c>
      <c r="G707" s="1" t="s">
        <v>1748</v>
      </c>
      <c r="J707" s="1" t="s">
        <v>9795</v>
      </c>
      <c r="K707" s="2" t="s">
        <v>8714</v>
      </c>
      <c r="L707" s="4" t="s">
        <v>8715</v>
      </c>
      <c r="M707" s="1" t="s">
        <v>12179</v>
      </c>
      <c r="P707" s="7" t="s">
        <v>1241</v>
      </c>
      <c r="Q707" s="14"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R707" s="14"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S707" s="13"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T707" s="13"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AV707" s="1" t="s">
        <v>1502</v>
      </c>
      <c r="BG707" s="7" t="s">
        <v>1503</v>
      </c>
      <c r="BH707" s="1" t="s">
        <v>1976</v>
      </c>
      <c r="BI707" s="1" t="s">
        <v>2024</v>
      </c>
      <c r="BJ707" s="1" t="s">
        <v>1947</v>
      </c>
      <c r="BK707" s="1" t="s">
        <v>2025</v>
      </c>
      <c r="BL707" s="1" t="s">
        <v>2026</v>
      </c>
      <c r="BM707" s="2" t="s">
        <v>2027</v>
      </c>
      <c r="BN707" s="1" t="s">
        <v>1959</v>
      </c>
      <c r="BO707" s="2" t="s">
        <v>4211</v>
      </c>
      <c r="BP707" s="1" t="s">
        <v>1875</v>
      </c>
      <c r="BQ707" s="2" t="s">
        <v>4212</v>
      </c>
      <c r="BR707" s="1" t="s">
        <v>1877</v>
      </c>
      <c r="BS707" s="2" t="s">
        <v>4213</v>
      </c>
    </row>
    <row r="708" spans="1:71" ht="126" x14ac:dyDescent="0.45">
      <c r="A708" s="5">
        <v>707</v>
      </c>
      <c r="B708" s="8" t="s">
        <v>476</v>
      </c>
      <c r="C708" s="6" t="s">
        <v>1816</v>
      </c>
      <c r="D708" s="7" t="s">
        <v>9794</v>
      </c>
      <c r="E708" s="1" t="s">
        <v>1327</v>
      </c>
      <c r="F708" s="1" t="s">
        <v>1826</v>
      </c>
      <c r="G708" s="1"/>
      <c r="J708" s="1" t="s">
        <v>9795</v>
      </c>
      <c r="K708" s="2" t="s">
        <v>8716</v>
      </c>
      <c r="L708" s="9" t="s">
        <v>8717</v>
      </c>
      <c r="P708" s="7" t="s">
        <v>1241</v>
      </c>
      <c r="AU708" s="15"/>
      <c r="AV708" s="1" t="s">
        <v>1502</v>
      </c>
      <c r="BG708" s="7" t="s">
        <v>1503</v>
      </c>
      <c r="BH708" s="1" t="s">
        <v>1947</v>
      </c>
      <c r="BI708" s="2" t="s">
        <v>4214</v>
      </c>
      <c r="BJ708" s="1" t="s">
        <v>1875</v>
      </c>
      <c r="BK708" s="2" t="s">
        <v>4215</v>
      </c>
      <c r="BL708" s="1" t="s">
        <v>1877</v>
      </c>
      <c r="BM708" s="2" t="s">
        <v>4216</v>
      </c>
    </row>
    <row r="709" spans="1:71" ht="162" x14ac:dyDescent="0.45">
      <c r="A709" s="5">
        <v>708</v>
      </c>
      <c r="B709" s="8" t="s">
        <v>477</v>
      </c>
      <c r="C709" s="6" t="s">
        <v>1816</v>
      </c>
      <c r="D709" s="7" t="s">
        <v>9794</v>
      </c>
      <c r="E709" s="1" t="s">
        <v>1327</v>
      </c>
      <c r="F709" s="1" t="s">
        <v>248</v>
      </c>
      <c r="G709" s="1"/>
      <c r="J709" s="1" t="s">
        <v>9795</v>
      </c>
      <c r="K709" s="1" t="s">
        <v>8718</v>
      </c>
      <c r="L709" s="2" t="s">
        <v>8719</v>
      </c>
      <c r="P709" s="7" t="s">
        <v>1241</v>
      </c>
      <c r="Q709" s="13" t="str">
        <f>INDEX($L:$L, MATCH("vote", $B:$B, 0))</f>
        <v>&lt;span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v>
      </c>
      <c r="AU709" s="15"/>
      <c r="AV709" s="1" t="s">
        <v>1502</v>
      </c>
      <c r="BG709" s="7" t="s">
        <v>1503</v>
      </c>
      <c r="BH709" s="1" t="s">
        <v>1947</v>
      </c>
      <c r="BI709" s="2" t="s">
        <v>4217</v>
      </c>
      <c r="BJ709" s="1" t="s">
        <v>1877</v>
      </c>
      <c r="BK709" s="2" t="s">
        <v>4218</v>
      </c>
    </row>
    <row r="710" spans="1:71" ht="72" x14ac:dyDescent="0.45">
      <c r="A710" s="5">
        <v>709</v>
      </c>
      <c r="B710" s="8" t="s">
        <v>478</v>
      </c>
      <c r="C710" s="6" t="s">
        <v>1816</v>
      </c>
      <c r="D710" s="7" t="s">
        <v>9794</v>
      </c>
      <c r="E710" s="6" t="s">
        <v>478</v>
      </c>
      <c r="F710" s="1"/>
      <c r="G710" s="1"/>
      <c r="J710" s="1" t="s">
        <v>9795</v>
      </c>
      <c r="K710" s="2"/>
      <c r="L710" s="2" t="s">
        <v>8720</v>
      </c>
      <c r="P710" s="7" t="s">
        <v>1241</v>
      </c>
      <c r="Q710" s="13" t="str">
        <f>INDEX($L:$L, MATCH("urgent", $B:$B, 0))</f>
        <v>&lt;span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v>
      </c>
      <c r="AU710" s="15"/>
      <c r="AV710" s="1" t="s">
        <v>1502</v>
      </c>
      <c r="BG710" s="7" t="s">
        <v>1503</v>
      </c>
      <c r="BH710" s="1" t="s">
        <v>1947</v>
      </c>
      <c r="BI710" s="2" t="s">
        <v>4219</v>
      </c>
      <c r="BJ710" s="1" t="s">
        <v>1877</v>
      </c>
      <c r="BK710" s="2" t="s">
        <v>4220</v>
      </c>
    </row>
    <row r="711" spans="1:71" ht="90" x14ac:dyDescent="0.45">
      <c r="A711" s="5">
        <v>710</v>
      </c>
      <c r="B711" s="8" t="s">
        <v>479</v>
      </c>
      <c r="C711" s="6" t="s">
        <v>1816</v>
      </c>
      <c r="D711" s="7" t="s">
        <v>9794</v>
      </c>
      <c r="E711" s="6" t="s">
        <v>479</v>
      </c>
      <c r="F711" s="1"/>
      <c r="G711" s="1"/>
      <c r="J711" s="1" t="s">
        <v>9795</v>
      </c>
      <c r="K711" s="2" t="s">
        <v>4221</v>
      </c>
      <c r="L711" s="9" t="s">
        <v>8721</v>
      </c>
      <c r="P711" s="7" t="s">
        <v>1241</v>
      </c>
      <c r="AV711" s="1" t="s">
        <v>1502</v>
      </c>
      <c r="BG711" s="7" t="s">
        <v>1503</v>
      </c>
      <c r="BH711" s="1" t="s">
        <v>1872</v>
      </c>
      <c r="BI711" s="1" t="s">
        <v>4222</v>
      </c>
      <c r="BJ711" s="1" t="s">
        <v>1875</v>
      </c>
      <c r="BK711" s="2" t="s">
        <v>4223</v>
      </c>
    </row>
    <row r="712" spans="1:71" ht="108" x14ac:dyDescent="0.45">
      <c r="A712" s="5">
        <v>711</v>
      </c>
      <c r="B712" s="8" t="s">
        <v>480</v>
      </c>
      <c r="C712" s="6" t="s">
        <v>1816</v>
      </c>
      <c r="D712" s="7" t="s">
        <v>9794</v>
      </c>
      <c r="E712" s="1" t="s">
        <v>1251</v>
      </c>
      <c r="F712" s="1" t="s">
        <v>325</v>
      </c>
      <c r="G712" s="1"/>
      <c r="J712" s="1" t="s">
        <v>9795</v>
      </c>
      <c r="K712" s="2" t="s">
        <v>8722</v>
      </c>
      <c r="L712" s="2" t="s">
        <v>8723</v>
      </c>
      <c r="M712" s="1" t="s">
        <v>12221</v>
      </c>
      <c r="P712" s="7" t="s">
        <v>1241</v>
      </c>
      <c r="Q712" s="13"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712" s="13"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S712" s="13"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T712" s="13"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U712" s="13"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AU712" s="15"/>
      <c r="AV712" s="1" t="s">
        <v>1502</v>
      </c>
      <c r="BG712" s="7" t="s">
        <v>1503</v>
      </c>
      <c r="BH712" s="1" t="s">
        <v>1947</v>
      </c>
      <c r="BI712" s="2" t="s">
        <v>4224</v>
      </c>
      <c r="BJ712" s="1" t="s">
        <v>1877</v>
      </c>
      <c r="BK712" s="2" t="s">
        <v>4225</v>
      </c>
    </row>
    <row r="713" spans="1:71" ht="72" x14ac:dyDescent="0.45">
      <c r="A713" s="5">
        <v>712</v>
      </c>
      <c r="B713" s="8" t="s">
        <v>481</v>
      </c>
      <c r="C713" s="6" t="s">
        <v>1816</v>
      </c>
      <c r="D713" s="7" t="s">
        <v>9794</v>
      </c>
      <c r="E713" s="1" t="s">
        <v>1827</v>
      </c>
      <c r="F713" s="1" t="s">
        <v>1818</v>
      </c>
      <c r="G713" s="1"/>
      <c r="J713" s="1" t="s">
        <v>9795</v>
      </c>
      <c r="K713" s="2" t="s">
        <v>8724</v>
      </c>
      <c r="L713" s="9" t="s">
        <v>8725</v>
      </c>
      <c r="P713" s="7" t="s">
        <v>1241</v>
      </c>
      <c r="AU713" s="15"/>
      <c r="AV713" s="1" t="s">
        <v>1502</v>
      </c>
      <c r="BG713" s="7" t="s">
        <v>1503</v>
      </c>
      <c r="BH713" s="1" t="s">
        <v>1947</v>
      </c>
      <c r="BI713" s="2" t="s">
        <v>4226</v>
      </c>
      <c r="BJ713" s="1" t="s">
        <v>1994</v>
      </c>
      <c r="BK713" s="1" t="s">
        <v>4227</v>
      </c>
      <c r="BL713" s="1" t="s">
        <v>1996</v>
      </c>
      <c r="BM713" s="2" t="s">
        <v>4228</v>
      </c>
      <c r="BN713" s="1" t="s">
        <v>1877</v>
      </c>
      <c r="BO713" s="2" t="s">
        <v>4229</v>
      </c>
    </row>
    <row r="714" spans="1:71" ht="144" x14ac:dyDescent="0.45">
      <c r="A714" s="5">
        <v>713</v>
      </c>
      <c r="B714" s="8" t="s">
        <v>482</v>
      </c>
      <c r="C714" s="6" t="s">
        <v>1816</v>
      </c>
      <c r="D714" s="7" t="s">
        <v>9794</v>
      </c>
      <c r="E714" s="1" t="s">
        <v>1346</v>
      </c>
      <c r="F714" s="1" t="s">
        <v>1467</v>
      </c>
      <c r="G714" s="1" t="s">
        <v>4230</v>
      </c>
      <c r="J714" s="1" t="s">
        <v>9795</v>
      </c>
      <c r="K714" s="2" t="s">
        <v>8726</v>
      </c>
      <c r="L714" s="2" t="s">
        <v>8727</v>
      </c>
      <c r="P714" s="7" t="s">
        <v>1241</v>
      </c>
      <c r="Q714" s="13" t="str">
        <f>INDEX($L:$L, MATCH("company", $B:$B, 0))</f>
        <v>&lt;span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さらにこの意味から、商業的な仲間の集まりである「会社」にもなる。&lt;/span&gt;</v>
      </c>
      <c r="AU714" s="15"/>
      <c r="AV714" s="1" t="s">
        <v>1502</v>
      </c>
      <c r="BG714" s="7" t="s">
        <v>1503</v>
      </c>
      <c r="BH714" s="1" t="s">
        <v>1947</v>
      </c>
      <c r="BI714" s="2" t="s">
        <v>4231</v>
      </c>
      <c r="BJ714" s="1" t="s">
        <v>2036</v>
      </c>
      <c r="BK714" s="1" t="s">
        <v>4232</v>
      </c>
      <c r="BL714" s="1" t="s">
        <v>1959</v>
      </c>
      <c r="BM714" s="2" t="s">
        <v>4233</v>
      </c>
      <c r="BN714" s="1" t="s">
        <v>1875</v>
      </c>
      <c r="BO714" s="2" t="s">
        <v>4234</v>
      </c>
    </row>
    <row r="715" spans="1:71" ht="180" x14ac:dyDescent="0.45">
      <c r="A715" s="5">
        <v>714</v>
      </c>
      <c r="B715" s="8" t="s">
        <v>483</v>
      </c>
      <c r="C715" s="6" t="s">
        <v>1816</v>
      </c>
      <c r="D715" s="7" t="s">
        <v>9794</v>
      </c>
      <c r="E715" s="1" t="s">
        <v>1413</v>
      </c>
      <c r="F715" s="1" t="s">
        <v>1828</v>
      </c>
      <c r="G715" s="1"/>
      <c r="J715" s="1" t="s">
        <v>9795</v>
      </c>
      <c r="K715" s="2"/>
      <c r="L715" s="3" t="s">
        <v>8769</v>
      </c>
      <c r="P715" s="7" t="s">
        <v>1241</v>
      </c>
      <c r="AU715" s="15"/>
      <c r="AV715" s="1" t="s">
        <v>1502</v>
      </c>
      <c r="BG715" s="7" t="s">
        <v>1503</v>
      </c>
      <c r="BH715" s="1" t="s">
        <v>1947</v>
      </c>
      <c r="BI715" s="2" t="s">
        <v>4235</v>
      </c>
      <c r="BJ715" s="1" t="s">
        <v>1877</v>
      </c>
      <c r="BK715" s="2" t="s">
        <v>4236</v>
      </c>
    </row>
    <row r="716" spans="1:71" ht="126" x14ac:dyDescent="0.45">
      <c r="A716" s="5">
        <v>715</v>
      </c>
      <c r="B716" s="8" t="s">
        <v>484</v>
      </c>
      <c r="C716" s="6" t="s">
        <v>1816</v>
      </c>
      <c r="D716" s="7" t="s">
        <v>9794</v>
      </c>
      <c r="E716" s="1" t="s">
        <v>1829</v>
      </c>
      <c r="F716" s="1" t="s">
        <v>1830</v>
      </c>
      <c r="G716" s="1"/>
      <c r="J716" s="1" t="s">
        <v>9795</v>
      </c>
      <c r="K716" s="2"/>
      <c r="L716" s="9" t="s">
        <v>8728</v>
      </c>
      <c r="P716" s="7" t="s">
        <v>1241</v>
      </c>
      <c r="AU716" s="15"/>
      <c r="AV716" s="1" t="s">
        <v>1502</v>
      </c>
      <c r="BG716" s="7" t="s">
        <v>1503</v>
      </c>
      <c r="BH716" s="1" t="s">
        <v>1947</v>
      </c>
      <c r="BI716" s="2" t="s">
        <v>8729</v>
      </c>
      <c r="BJ716" s="1" t="s">
        <v>2036</v>
      </c>
      <c r="BK716" s="2" t="s">
        <v>4237</v>
      </c>
      <c r="BL716" s="1" t="s">
        <v>1959</v>
      </c>
      <c r="BM716" s="2" t="s">
        <v>4238</v>
      </c>
      <c r="BN716" s="1" t="s">
        <v>2114</v>
      </c>
      <c r="BO716" s="1" t="s">
        <v>4239</v>
      </c>
      <c r="BP716" s="1" t="s">
        <v>1875</v>
      </c>
      <c r="BQ716" s="2" t="s">
        <v>4240</v>
      </c>
    </row>
    <row r="717" spans="1:71" ht="180" x14ac:dyDescent="0.45">
      <c r="A717" s="5">
        <v>716</v>
      </c>
      <c r="B717" s="8" t="s">
        <v>485</v>
      </c>
      <c r="C717" s="6" t="s">
        <v>1816</v>
      </c>
      <c r="D717" s="7" t="s">
        <v>9794</v>
      </c>
      <c r="E717" s="1" t="s">
        <v>1447</v>
      </c>
      <c r="F717" s="1" t="s">
        <v>4241</v>
      </c>
      <c r="G717" s="1"/>
      <c r="J717" s="1" t="s">
        <v>9795</v>
      </c>
      <c r="K717" s="2" t="s">
        <v>8730</v>
      </c>
      <c r="L717" s="2" t="s">
        <v>8731</v>
      </c>
      <c r="P717" s="7" t="s">
        <v>1241</v>
      </c>
      <c r="AU717" s="15"/>
      <c r="AV717" s="1" t="s">
        <v>1502</v>
      </c>
      <c r="BG717" s="7" t="s">
        <v>1503</v>
      </c>
      <c r="BH717" s="1" t="s">
        <v>1947</v>
      </c>
      <c r="BI717" s="2" t="s">
        <v>4242</v>
      </c>
      <c r="BJ717" s="1" t="s">
        <v>2026</v>
      </c>
      <c r="BK717" s="2" t="s">
        <v>4243</v>
      </c>
      <c r="BL717" s="1" t="s">
        <v>1959</v>
      </c>
      <c r="BM717" s="2" t="s">
        <v>8732</v>
      </c>
      <c r="BN717" s="1" t="s">
        <v>1875</v>
      </c>
      <c r="BO717" s="2" t="s">
        <v>4244</v>
      </c>
    </row>
    <row r="718" spans="1:71" ht="126" x14ac:dyDescent="0.45">
      <c r="A718" s="5">
        <v>717</v>
      </c>
      <c r="B718" s="8" t="s">
        <v>486</v>
      </c>
      <c r="C718" s="6" t="s">
        <v>1816</v>
      </c>
      <c r="D718" s="7" t="s">
        <v>9794</v>
      </c>
      <c r="E718" s="1" t="s">
        <v>1346</v>
      </c>
      <c r="F718" s="1" t="s">
        <v>4245</v>
      </c>
      <c r="G718" s="1" t="s">
        <v>4246</v>
      </c>
      <c r="J718" s="1" t="s">
        <v>9795</v>
      </c>
      <c r="L718" s="2" t="s">
        <v>8733</v>
      </c>
      <c r="M718" s="1" t="s">
        <v>12190</v>
      </c>
      <c r="P718" s="7" t="s">
        <v>1241</v>
      </c>
      <c r="Q718" s="13"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718" s="13"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S718"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T718"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U718" s="13"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V718"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718"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718"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718"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718"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U718" s="15"/>
      <c r="AV718" s="1" t="s">
        <v>1502</v>
      </c>
      <c r="BG718" s="7" t="s">
        <v>1503</v>
      </c>
      <c r="BH718" s="1" t="s">
        <v>1872</v>
      </c>
      <c r="BI718" s="2" t="s">
        <v>4247</v>
      </c>
      <c r="BJ718" s="1" t="s">
        <v>1875</v>
      </c>
      <c r="BK718" s="2" t="s">
        <v>8734</v>
      </c>
      <c r="BL718" s="1" t="s">
        <v>1877</v>
      </c>
      <c r="BM718" s="2" t="s">
        <v>4248</v>
      </c>
    </row>
    <row r="719" spans="1:71" ht="198" x14ac:dyDescent="0.45">
      <c r="A719" s="5">
        <v>718</v>
      </c>
      <c r="B719" s="8" t="s">
        <v>487</v>
      </c>
      <c r="C719" s="6" t="s">
        <v>1816</v>
      </c>
      <c r="D719" s="7" t="s">
        <v>9794</v>
      </c>
      <c r="E719" s="1" t="s">
        <v>1459</v>
      </c>
      <c r="F719" s="1" t="s">
        <v>1831</v>
      </c>
      <c r="G719" s="1"/>
      <c r="J719" s="1" t="s">
        <v>9795</v>
      </c>
      <c r="K719" s="2" t="s">
        <v>8735</v>
      </c>
      <c r="L719" s="3" t="s">
        <v>8770</v>
      </c>
      <c r="P719" s="7" t="s">
        <v>1241</v>
      </c>
      <c r="AU719" s="15"/>
      <c r="AV719" s="1" t="s">
        <v>1502</v>
      </c>
      <c r="BG719" s="7" t="s">
        <v>1503</v>
      </c>
      <c r="BH719" s="1" t="s">
        <v>1947</v>
      </c>
      <c r="BI719" s="2" t="s">
        <v>4249</v>
      </c>
      <c r="BJ719" s="1" t="s">
        <v>1959</v>
      </c>
      <c r="BK719" s="1" t="s">
        <v>4250</v>
      </c>
      <c r="BL719" s="1" t="s">
        <v>1875</v>
      </c>
      <c r="BM719" s="2" t="s">
        <v>4251</v>
      </c>
    </row>
    <row r="720" spans="1:71" ht="108" x14ac:dyDescent="0.45">
      <c r="A720" s="5">
        <v>719</v>
      </c>
      <c r="B720" s="8" t="s">
        <v>488</v>
      </c>
      <c r="C720" s="6" t="s">
        <v>1816</v>
      </c>
      <c r="D720" s="7" t="s">
        <v>9794</v>
      </c>
      <c r="E720" s="1" t="s">
        <v>1454</v>
      </c>
      <c r="F720" s="1" t="s">
        <v>4252</v>
      </c>
      <c r="G720" s="1"/>
      <c r="J720" s="1" t="s">
        <v>9795</v>
      </c>
      <c r="K720" s="2" t="s">
        <v>8736</v>
      </c>
      <c r="L720" s="2" t="s">
        <v>8737</v>
      </c>
      <c r="M720" s="1" t="s">
        <v>12188</v>
      </c>
      <c r="P720" s="7" t="s">
        <v>1241</v>
      </c>
      <c r="Q720" s="13"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720" s="13"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720" s="13"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720" s="13"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720" s="13"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AV720" s="1" t="s">
        <v>1502</v>
      </c>
      <c r="BG720" s="7" t="s">
        <v>1503</v>
      </c>
      <c r="BH720" s="1" t="s">
        <v>1947</v>
      </c>
      <c r="BI720" s="1" t="s">
        <v>4253</v>
      </c>
      <c r="BJ720" s="1" t="s">
        <v>1959</v>
      </c>
      <c r="BK720" s="2" t="s">
        <v>4254</v>
      </c>
      <c r="BL720" s="1" t="s">
        <v>1877</v>
      </c>
      <c r="BM720" s="2" t="s">
        <v>4255</v>
      </c>
    </row>
    <row r="721" spans="1:67" ht="198" x14ac:dyDescent="0.45">
      <c r="A721" s="5">
        <v>720</v>
      </c>
      <c r="B721" s="8" t="s">
        <v>489</v>
      </c>
      <c r="C721" s="6" t="s">
        <v>1816</v>
      </c>
      <c r="D721" s="7" t="s">
        <v>9794</v>
      </c>
      <c r="E721" s="1" t="s">
        <v>1327</v>
      </c>
      <c r="F721" s="1" t="s">
        <v>1832</v>
      </c>
      <c r="G721" s="1"/>
      <c r="J721" s="1" t="s">
        <v>9795</v>
      </c>
      <c r="K721" s="2" t="s">
        <v>8738</v>
      </c>
      <c r="L721" s="3" t="s">
        <v>8771</v>
      </c>
      <c r="P721" s="7" t="s">
        <v>1241</v>
      </c>
      <c r="Q721" s="13" t="str">
        <f>INDEX($L:$L, MATCH("clarify", $B:$B, 0))</f>
        <v>&lt;span class="w"&gt;&lt;b&gt;【1425.clarify：〜を明確にする】&lt;/b&gt;&lt;/span&gt;
&lt;span class="ml"&gt;ラテン語に由来する語で、以下の2つの要素から成る。
&lt;span class="spacer"&gt;&lt;/span&gt;clarus（明るい, はっきりした）
facere（作る, 行う）
&lt;span class="spacer"&gt;&lt;/span&gt;このまま日本語にすると「はっきりさせる」すなわち「明確にする」となる。ラテン語clarusは、英語clearの語源でもあるので、clear（明確な）＋fy（する）とイメージすればよい。&lt;/span&gt;</v>
      </c>
      <c r="AU721" s="15"/>
      <c r="AV721" s="1" t="s">
        <v>1502</v>
      </c>
      <c r="BG721" s="7" t="s">
        <v>1503</v>
      </c>
      <c r="BH721" s="1" t="s">
        <v>1947</v>
      </c>
      <c r="BI721" s="2" t="s">
        <v>4256</v>
      </c>
      <c r="BJ721" s="1" t="s">
        <v>1959</v>
      </c>
      <c r="BK721" s="2" t="s">
        <v>4257</v>
      </c>
      <c r="BL721" s="1" t="s">
        <v>1875</v>
      </c>
      <c r="BM721" s="2" t="s">
        <v>4258</v>
      </c>
    </row>
    <row r="722" spans="1:67" ht="324" x14ac:dyDescent="0.45">
      <c r="A722" s="5">
        <v>721</v>
      </c>
      <c r="B722" s="8" t="s">
        <v>490</v>
      </c>
      <c r="C722" s="6" t="s">
        <v>1816</v>
      </c>
      <c r="D722" s="7" t="s">
        <v>9794</v>
      </c>
      <c r="E722" s="1" t="s">
        <v>1833</v>
      </c>
      <c r="F722" s="1" t="s">
        <v>1834</v>
      </c>
      <c r="G722" s="1"/>
      <c r="J722" s="1" t="s">
        <v>9795</v>
      </c>
      <c r="K722" s="2" t="s">
        <v>8739</v>
      </c>
      <c r="L722" s="4" t="s">
        <v>8740</v>
      </c>
      <c r="M722" s="1" t="s">
        <v>12256</v>
      </c>
      <c r="P722" s="7" t="s">
        <v>1241</v>
      </c>
      <c r="Q722"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R722" s="14"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S722" s="14"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T722" s="14"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U722" s="14"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V722"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722" s="15"/>
      <c r="AV722" s="1" t="s">
        <v>1502</v>
      </c>
      <c r="BG722" s="7" t="s">
        <v>1503</v>
      </c>
      <c r="BH722" s="1" t="s">
        <v>1947</v>
      </c>
      <c r="BI722" s="2" t="s">
        <v>4259</v>
      </c>
      <c r="BJ722" s="1" t="s">
        <v>1877</v>
      </c>
      <c r="BK722" s="2" t="s">
        <v>4260</v>
      </c>
    </row>
    <row r="723" spans="1:67" ht="162" x14ac:dyDescent="0.45">
      <c r="A723" s="5">
        <v>722</v>
      </c>
      <c r="B723" s="8" t="s">
        <v>491</v>
      </c>
      <c r="C723" s="6" t="s">
        <v>1816</v>
      </c>
      <c r="D723" s="7" t="s">
        <v>9794</v>
      </c>
      <c r="E723" s="1" t="s">
        <v>4261</v>
      </c>
      <c r="F723" s="1" t="s">
        <v>1519</v>
      </c>
      <c r="G723" s="1"/>
      <c r="J723" s="1" t="s">
        <v>9795</v>
      </c>
      <c r="K723" s="2" t="s">
        <v>8741</v>
      </c>
      <c r="L723" s="2" t="s">
        <v>8742</v>
      </c>
      <c r="P723" s="7" t="s">
        <v>1241</v>
      </c>
      <c r="AU723" s="15"/>
      <c r="AV723" s="1" t="s">
        <v>1502</v>
      </c>
      <c r="BG723" s="7" t="s">
        <v>1503</v>
      </c>
      <c r="BH723" s="1" t="s">
        <v>1947</v>
      </c>
      <c r="BI723" s="2" t="s">
        <v>4262</v>
      </c>
      <c r="BJ723" s="1" t="s">
        <v>1959</v>
      </c>
      <c r="BK723" s="2" t="s">
        <v>4263</v>
      </c>
      <c r="BL723" s="1" t="s">
        <v>1875</v>
      </c>
      <c r="BM723" s="2" t="s">
        <v>4264</v>
      </c>
      <c r="BN723" s="1" t="s">
        <v>1877</v>
      </c>
      <c r="BO723" s="2" t="s">
        <v>4265</v>
      </c>
    </row>
    <row r="724" spans="1:67" ht="162" x14ac:dyDescent="0.45">
      <c r="A724" s="5">
        <v>723</v>
      </c>
      <c r="B724" s="8" t="s">
        <v>492</v>
      </c>
      <c r="C724" s="6" t="s">
        <v>1816</v>
      </c>
      <c r="D724" s="7" t="s">
        <v>9794</v>
      </c>
      <c r="E724" s="1" t="s">
        <v>1395</v>
      </c>
      <c r="F724" s="1" t="s">
        <v>1412</v>
      </c>
      <c r="G724" s="1"/>
      <c r="J724" s="1" t="s">
        <v>9795</v>
      </c>
      <c r="K724" s="2" t="s">
        <v>8743</v>
      </c>
      <c r="L724" s="3" t="s">
        <v>8772</v>
      </c>
      <c r="M724" s="1" t="s">
        <v>12233</v>
      </c>
      <c r="P724" s="7" t="s">
        <v>1241</v>
      </c>
      <c r="Q724" s="13" t="str">
        <f>INDEX($L:$L, MATCH("tribe", $B:$B, 0))</f>
        <v>&lt;span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v>
      </c>
      <c r="R724" s="13" t="str">
        <f>INDEX($L:$L, MATCH("contribute", $B:$B, 0))</f>
        <v>&lt;span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v>
      </c>
      <c r="S724" s="13" t="str">
        <f>INDEX($L:$L, MATCH("distribute", $B:$B, 0))</f>
        <v>&lt;span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v>
      </c>
      <c r="AU724" s="15"/>
      <c r="AV724" s="1" t="s">
        <v>1502</v>
      </c>
      <c r="BG724" s="7" t="s">
        <v>1503</v>
      </c>
      <c r="BH724" s="1" t="s">
        <v>1947</v>
      </c>
      <c r="BI724" s="2" t="s">
        <v>4564</v>
      </c>
      <c r="BJ724" s="1" t="s">
        <v>1875</v>
      </c>
      <c r="BK724" s="2" t="s">
        <v>4266</v>
      </c>
    </row>
    <row r="725" spans="1:67" ht="270" x14ac:dyDescent="0.45">
      <c r="A725" s="5">
        <v>724</v>
      </c>
      <c r="B725" s="8" t="s">
        <v>493</v>
      </c>
      <c r="C725" s="6" t="s">
        <v>1816</v>
      </c>
      <c r="D725" s="7" t="s">
        <v>9794</v>
      </c>
      <c r="E725" s="1" t="s">
        <v>1338</v>
      </c>
      <c r="F725" s="1" t="s">
        <v>54</v>
      </c>
      <c r="G725" s="1"/>
      <c r="J725" s="1" t="s">
        <v>9795</v>
      </c>
      <c r="K725" s="2" t="s">
        <v>7141</v>
      </c>
      <c r="L725" s="3" t="s">
        <v>8773</v>
      </c>
      <c r="M725" s="1" t="s">
        <v>12171</v>
      </c>
      <c r="P725" s="7" t="s">
        <v>1241</v>
      </c>
      <c r="Q725" s="14"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725" s="14"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725" s="14"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725" s="14"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U725"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V725" s="14"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W725" s="15"/>
      <c r="AU725" s="15"/>
      <c r="AV725" s="1" t="s">
        <v>1502</v>
      </c>
      <c r="BG725" s="7" t="s">
        <v>1503</v>
      </c>
      <c r="BH725" s="1" t="s">
        <v>1947</v>
      </c>
      <c r="BI725" s="2" t="s">
        <v>4267</v>
      </c>
      <c r="BJ725" s="1" t="s">
        <v>1959</v>
      </c>
      <c r="BK725" s="2" t="s">
        <v>4268</v>
      </c>
      <c r="BL725" s="1" t="s">
        <v>1875</v>
      </c>
      <c r="BM725" s="2" t="s">
        <v>4269</v>
      </c>
      <c r="BN725" s="1" t="s">
        <v>1877</v>
      </c>
      <c r="BO725" s="2" t="s">
        <v>4270</v>
      </c>
    </row>
    <row r="726" spans="1:67" ht="108" x14ac:dyDescent="0.45">
      <c r="A726" s="5">
        <v>725</v>
      </c>
      <c r="B726" s="8" t="s">
        <v>494</v>
      </c>
      <c r="C726" s="6" t="s">
        <v>1816</v>
      </c>
      <c r="D726" s="7" t="s">
        <v>9794</v>
      </c>
      <c r="E726" s="6" t="s">
        <v>494</v>
      </c>
      <c r="F726" s="1"/>
      <c r="G726" s="1"/>
      <c r="J726" s="1" t="s">
        <v>9795</v>
      </c>
      <c r="K726" s="2" t="s">
        <v>8744</v>
      </c>
      <c r="L726" s="9" t="s">
        <v>8745</v>
      </c>
      <c r="P726" s="7" t="s">
        <v>1241</v>
      </c>
      <c r="AU726" s="15"/>
      <c r="AV726" s="1" t="s">
        <v>1502</v>
      </c>
      <c r="BG726" s="7" t="s">
        <v>1503</v>
      </c>
      <c r="BH726" s="1" t="s">
        <v>1872</v>
      </c>
      <c r="BI726" s="2" t="s">
        <v>8746</v>
      </c>
    </row>
    <row r="727" spans="1:67" ht="180" x14ac:dyDescent="0.45">
      <c r="A727" s="5">
        <v>726</v>
      </c>
      <c r="B727" s="8" t="s">
        <v>495</v>
      </c>
      <c r="C727" s="6" t="s">
        <v>1816</v>
      </c>
      <c r="D727" s="7" t="s">
        <v>9794</v>
      </c>
      <c r="E727" s="1" t="s">
        <v>1251</v>
      </c>
      <c r="F727" s="1" t="s">
        <v>4271</v>
      </c>
      <c r="G727" s="1"/>
      <c r="J727" s="1" t="s">
        <v>9795</v>
      </c>
      <c r="K727" s="2" t="s">
        <v>8747</v>
      </c>
      <c r="L727" s="2" t="s">
        <v>8748</v>
      </c>
      <c r="M727" s="1" t="s">
        <v>12240</v>
      </c>
      <c r="P727" s="7" t="s">
        <v>1241</v>
      </c>
      <c r="Q727"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727"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727"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727"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U727"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V727"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W727"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727"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727"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727"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727" s="15"/>
      <c r="AV727" s="1" t="s">
        <v>1502</v>
      </c>
      <c r="BG727" s="7" t="s">
        <v>1503</v>
      </c>
      <c r="BH727" s="1" t="s">
        <v>1947</v>
      </c>
      <c r="BI727" s="2" t="s">
        <v>4272</v>
      </c>
      <c r="BJ727" s="1" t="s">
        <v>2036</v>
      </c>
      <c r="BK727" s="1" t="s">
        <v>4273</v>
      </c>
      <c r="BL727" s="1" t="s">
        <v>1959</v>
      </c>
      <c r="BM727" s="1" t="s">
        <v>4274</v>
      </c>
      <c r="BN727" s="1" t="s">
        <v>1875</v>
      </c>
      <c r="BO727" s="2" t="s">
        <v>4275</v>
      </c>
    </row>
    <row r="728" spans="1:67" ht="144" x14ac:dyDescent="0.45">
      <c r="A728" s="5">
        <v>727</v>
      </c>
      <c r="B728" s="8" t="s">
        <v>496</v>
      </c>
      <c r="C728" s="6" t="s">
        <v>1816</v>
      </c>
      <c r="D728" s="7" t="s">
        <v>9794</v>
      </c>
      <c r="E728" s="1" t="s">
        <v>1251</v>
      </c>
      <c r="F728" s="1" t="s">
        <v>4276</v>
      </c>
      <c r="G728" s="1"/>
      <c r="J728" s="1" t="s">
        <v>9795</v>
      </c>
      <c r="K728" s="2" t="s">
        <v>8749</v>
      </c>
      <c r="L728" s="3" t="s">
        <v>8774</v>
      </c>
      <c r="M728" s="1" t="s">
        <v>12180</v>
      </c>
      <c r="P728" s="7" t="s">
        <v>1241</v>
      </c>
      <c r="Q728" s="13"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728" s="13"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S728" s="13"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T728" s="13"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728" s="13"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U728" s="15"/>
      <c r="AV728" s="1" t="s">
        <v>1502</v>
      </c>
      <c r="BG728" s="7" t="s">
        <v>1503</v>
      </c>
      <c r="BH728" s="1" t="s">
        <v>1947</v>
      </c>
      <c r="BI728" s="2" t="s">
        <v>4277</v>
      </c>
      <c r="BJ728" s="1" t="s">
        <v>1959</v>
      </c>
      <c r="BK728" s="2" t="s">
        <v>4278</v>
      </c>
      <c r="BL728" s="1" t="s">
        <v>1875</v>
      </c>
      <c r="BM728" s="2" t="s">
        <v>4279</v>
      </c>
    </row>
    <row r="729" spans="1:67" ht="108" x14ac:dyDescent="0.45">
      <c r="A729" s="5">
        <v>728</v>
      </c>
      <c r="B729" s="8" t="s">
        <v>497</v>
      </c>
      <c r="C729" s="6" t="s">
        <v>1816</v>
      </c>
      <c r="D729" s="7" t="s">
        <v>9794</v>
      </c>
      <c r="E729" s="6" t="s">
        <v>497</v>
      </c>
      <c r="F729" s="1"/>
      <c r="G729" s="1"/>
      <c r="J729" s="1" t="s">
        <v>9795</v>
      </c>
      <c r="K729" s="2" t="s">
        <v>8750</v>
      </c>
      <c r="L729" s="3" t="s">
        <v>8775</v>
      </c>
      <c r="P729" s="7" t="s">
        <v>1241</v>
      </c>
      <c r="AV729" s="1" t="s">
        <v>1502</v>
      </c>
      <c r="BG729" s="7" t="s">
        <v>1503</v>
      </c>
      <c r="BH729" s="1" t="s">
        <v>2110</v>
      </c>
      <c r="BI729" s="1" t="s">
        <v>4280</v>
      </c>
      <c r="BJ729" s="1" t="s">
        <v>1875</v>
      </c>
      <c r="BK729" s="2" t="s">
        <v>4281</v>
      </c>
      <c r="BL729" s="1" t="s">
        <v>1877</v>
      </c>
      <c r="BM729" s="2" t="s">
        <v>4282</v>
      </c>
    </row>
    <row r="730" spans="1:67" ht="108" x14ac:dyDescent="0.45">
      <c r="A730" s="5">
        <v>729</v>
      </c>
      <c r="B730" s="8" t="s">
        <v>498</v>
      </c>
      <c r="C730" s="6" t="s">
        <v>1816</v>
      </c>
      <c r="D730" s="7" t="s">
        <v>9794</v>
      </c>
      <c r="E730" s="1" t="s">
        <v>498</v>
      </c>
      <c r="F730" s="1"/>
      <c r="G730" s="1"/>
      <c r="J730" s="1" t="s">
        <v>9795</v>
      </c>
      <c r="K730" s="2" t="s">
        <v>8751</v>
      </c>
      <c r="L730" s="3" t="s">
        <v>8776</v>
      </c>
      <c r="P730" s="7" t="s">
        <v>1241</v>
      </c>
      <c r="AU730" s="15"/>
      <c r="AV730" s="1" t="s">
        <v>1502</v>
      </c>
      <c r="BG730" s="7" t="s">
        <v>1503</v>
      </c>
      <c r="BH730" s="1" t="s">
        <v>1976</v>
      </c>
      <c r="BI730" s="2" t="s">
        <v>4283</v>
      </c>
      <c r="BJ730" s="1" t="s">
        <v>1947</v>
      </c>
      <c r="BK730" s="2" t="s">
        <v>4284</v>
      </c>
      <c r="BL730" s="1" t="s">
        <v>1877</v>
      </c>
      <c r="BM730" s="2" t="s">
        <v>4285</v>
      </c>
    </row>
    <row r="731" spans="1:67" ht="126" x14ac:dyDescent="0.45">
      <c r="A731" s="5">
        <v>730</v>
      </c>
      <c r="B731" s="8" t="s">
        <v>499</v>
      </c>
      <c r="C731" s="6" t="s">
        <v>1816</v>
      </c>
      <c r="D731" s="7" t="s">
        <v>9794</v>
      </c>
      <c r="E731" s="1" t="s">
        <v>1392</v>
      </c>
      <c r="F731" s="1" t="s">
        <v>4276</v>
      </c>
      <c r="G731" s="1"/>
      <c r="J731" s="1" t="s">
        <v>9795</v>
      </c>
      <c r="K731" s="2" t="s">
        <v>8752</v>
      </c>
      <c r="L731" s="2" t="s">
        <v>8753</v>
      </c>
      <c r="M731" s="1" t="s">
        <v>12180</v>
      </c>
      <c r="P731" s="7" t="s">
        <v>1241</v>
      </c>
      <c r="Q731" s="13"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731" s="13"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S731" s="13"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T731" s="13"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731" s="13"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U731" s="15"/>
      <c r="AV731" s="1" t="s">
        <v>1502</v>
      </c>
      <c r="BG731" s="7" t="s">
        <v>1503</v>
      </c>
      <c r="BH731" s="1" t="s">
        <v>1947</v>
      </c>
      <c r="BI731" s="2" t="s">
        <v>4286</v>
      </c>
      <c r="BJ731" s="1" t="s">
        <v>1959</v>
      </c>
      <c r="BK731" s="2" t="s">
        <v>4287</v>
      </c>
      <c r="BL731" s="1" t="s">
        <v>1875</v>
      </c>
      <c r="BM731" s="2" t="s">
        <v>4288</v>
      </c>
    </row>
    <row r="732" spans="1:67" ht="144" x14ac:dyDescent="0.45">
      <c r="A732" s="5">
        <v>731</v>
      </c>
      <c r="B732" s="8" t="s">
        <v>500</v>
      </c>
      <c r="C732" s="6" t="s">
        <v>1816</v>
      </c>
      <c r="D732" s="7" t="s">
        <v>9794</v>
      </c>
      <c r="E732" s="1" t="s">
        <v>1251</v>
      </c>
      <c r="F732" s="1" t="s">
        <v>4290</v>
      </c>
      <c r="G732" s="1"/>
      <c r="J732" s="1" t="s">
        <v>9795</v>
      </c>
      <c r="K732" s="2" t="s">
        <v>8754</v>
      </c>
      <c r="L732" s="3" t="s">
        <v>8777</v>
      </c>
      <c r="P732" s="7" t="s">
        <v>1241</v>
      </c>
      <c r="Q732" s="13"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R732" s="13"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S732" s="13"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AV732" s="1" t="s">
        <v>1502</v>
      </c>
      <c r="BG732" s="7" t="s">
        <v>1503</v>
      </c>
      <c r="BH732" s="1" t="s">
        <v>1976</v>
      </c>
      <c r="BI732" s="1" t="s">
        <v>4291</v>
      </c>
      <c r="BJ732" s="1" t="s">
        <v>1947</v>
      </c>
      <c r="BK732" s="2" t="s">
        <v>4292</v>
      </c>
      <c r="BL732" s="1" t="s">
        <v>1959</v>
      </c>
      <c r="BM732" s="2" t="s">
        <v>8755</v>
      </c>
      <c r="BN732" s="1" t="s">
        <v>1875</v>
      </c>
      <c r="BO732" s="2" t="s">
        <v>4293</v>
      </c>
    </row>
    <row r="733" spans="1:67" ht="108" x14ac:dyDescent="0.45">
      <c r="A733" s="5">
        <v>732</v>
      </c>
      <c r="B733" s="8" t="s">
        <v>501</v>
      </c>
      <c r="C733" s="6" t="s">
        <v>1816</v>
      </c>
      <c r="D733" s="7" t="s">
        <v>9794</v>
      </c>
      <c r="E733" s="1" t="s">
        <v>1251</v>
      </c>
      <c r="F733" s="1" t="s">
        <v>1448</v>
      </c>
      <c r="G733" s="1"/>
      <c r="J733" s="1" t="s">
        <v>9795</v>
      </c>
      <c r="K733" s="2" t="s">
        <v>8756</v>
      </c>
      <c r="L733" s="9" t="s">
        <v>8757</v>
      </c>
      <c r="P733" s="7" t="s">
        <v>1241</v>
      </c>
      <c r="AU733" s="15"/>
      <c r="AV733" s="1" t="s">
        <v>1502</v>
      </c>
      <c r="BG733" s="7" t="s">
        <v>1503</v>
      </c>
      <c r="BH733" s="1" t="s">
        <v>1959</v>
      </c>
      <c r="BI733" s="2" t="s">
        <v>4294</v>
      </c>
      <c r="BJ733" s="1" t="s">
        <v>3526</v>
      </c>
      <c r="BK733" s="2" t="s">
        <v>4295</v>
      </c>
      <c r="BL733" s="1" t="s">
        <v>1877</v>
      </c>
      <c r="BM733" s="2" t="s">
        <v>4296</v>
      </c>
    </row>
    <row r="734" spans="1:67" ht="144" x14ac:dyDescent="0.45">
      <c r="A734" s="5">
        <v>733</v>
      </c>
      <c r="B734" s="8" t="s">
        <v>502</v>
      </c>
      <c r="C734" s="6" t="s">
        <v>1816</v>
      </c>
      <c r="D734" s="7" t="s">
        <v>9794</v>
      </c>
      <c r="E734" s="1" t="s">
        <v>4297</v>
      </c>
      <c r="F734" s="1" t="s">
        <v>1668</v>
      </c>
      <c r="G734" s="1"/>
      <c r="J734" s="1" t="s">
        <v>9795</v>
      </c>
      <c r="K734" s="2" t="s">
        <v>8758</v>
      </c>
      <c r="L734" s="2" t="s">
        <v>8759</v>
      </c>
      <c r="M734" s="1" t="s">
        <v>12248</v>
      </c>
      <c r="P734" s="7" t="s">
        <v>1241</v>
      </c>
      <c r="Q734" s="13"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734" s="13"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S734" s="13"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T734" s="13"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U734" s="13"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734" s="13"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AU734" s="15"/>
      <c r="AV734" s="1" t="s">
        <v>1502</v>
      </c>
      <c r="BG734" s="7" t="s">
        <v>1503</v>
      </c>
      <c r="BH734" s="1" t="s">
        <v>1947</v>
      </c>
      <c r="BI734" s="2" t="s">
        <v>4298</v>
      </c>
      <c r="BJ734" s="1" t="s">
        <v>1877</v>
      </c>
      <c r="BK734" s="2" t="s">
        <v>4299</v>
      </c>
    </row>
    <row r="735" spans="1:67" ht="216" x14ac:dyDescent="0.45">
      <c r="A735" s="5">
        <v>734</v>
      </c>
      <c r="B735" s="8" t="s">
        <v>503</v>
      </c>
      <c r="C735" s="6" t="s">
        <v>1816</v>
      </c>
      <c r="D735" s="7" t="s">
        <v>9794</v>
      </c>
      <c r="E735" s="1" t="s">
        <v>1428</v>
      </c>
      <c r="F735" s="1" t="s">
        <v>1936</v>
      </c>
      <c r="G735" s="1"/>
      <c r="J735" s="1" t="s">
        <v>9795</v>
      </c>
      <c r="K735" s="2"/>
      <c r="L735" s="3" t="s">
        <v>8778</v>
      </c>
      <c r="P735" s="7" t="s">
        <v>1241</v>
      </c>
      <c r="AU735" s="15"/>
      <c r="AV735" s="1" t="s">
        <v>1502</v>
      </c>
      <c r="BG735" s="7" t="s">
        <v>1503</v>
      </c>
      <c r="BH735" s="1" t="s">
        <v>1947</v>
      </c>
      <c r="BI735" s="2" t="s">
        <v>4300</v>
      </c>
      <c r="BJ735" s="1" t="s">
        <v>1877</v>
      </c>
      <c r="BK735" s="2" t="s">
        <v>4301</v>
      </c>
    </row>
    <row r="736" spans="1:67" ht="126" x14ac:dyDescent="0.45">
      <c r="A736" s="5">
        <v>735</v>
      </c>
      <c r="B736" s="8" t="s">
        <v>504</v>
      </c>
      <c r="C736" s="6" t="s">
        <v>1816</v>
      </c>
      <c r="D736" s="7" t="s">
        <v>9794</v>
      </c>
      <c r="E736" s="1" t="s">
        <v>1251</v>
      </c>
      <c r="F736" s="1" t="s">
        <v>1326</v>
      </c>
      <c r="G736" s="1"/>
      <c r="J736" s="1" t="s">
        <v>9795</v>
      </c>
      <c r="K736" s="2"/>
      <c r="L736" s="2" t="s">
        <v>8779</v>
      </c>
      <c r="M736" s="1" t="s">
        <v>12261</v>
      </c>
      <c r="P736" s="7" t="s">
        <v>1241</v>
      </c>
      <c r="Q736" s="13"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736" s="13"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736" s="13"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T736" s="13"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U736" s="13"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V736" s="13"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AU736" s="15"/>
      <c r="AV736" s="1" t="s">
        <v>1502</v>
      </c>
      <c r="BG736" s="7" t="s">
        <v>1503</v>
      </c>
      <c r="BH736" s="1" t="s">
        <v>1947</v>
      </c>
      <c r="BI736" s="2" t="s">
        <v>4302</v>
      </c>
      <c r="BJ736" s="1" t="s">
        <v>1959</v>
      </c>
      <c r="BK736" s="2" t="s">
        <v>4303</v>
      </c>
      <c r="BL736" s="1" t="s">
        <v>1875</v>
      </c>
      <c r="BM736" s="2" t="s">
        <v>4304</v>
      </c>
    </row>
    <row r="737" spans="1:69" ht="144" x14ac:dyDescent="0.45">
      <c r="A737" s="5">
        <v>736</v>
      </c>
      <c r="B737" s="8" t="s">
        <v>505</v>
      </c>
      <c r="C737" s="6" t="s">
        <v>1816</v>
      </c>
      <c r="D737" s="7" t="s">
        <v>9794</v>
      </c>
      <c r="E737" s="1" t="s">
        <v>31</v>
      </c>
      <c r="F737" s="1" t="s">
        <v>1835</v>
      </c>
      <c r="G737" s="1"/>
      <c r="J737" s="1" t="s">
        <v>9795</v>
      </c>
      <c r="K737" s="2" t="s">
        <v>8780</v>
      </c>
      <c r="L737" s="3" t="s">
        <v>8781</v>
      </c>
      <c r="P737" s="7" t="s">
        <v>1241</v>
      </c>
      <c r="Q737" s="14"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U737" s="15"/>
      <c r="AV737" s="1" t="s">
        <v>1502</v>
      </c>
      <c r="BG737" s="7" t="s">
        <v>1503</v>
      </c>
      <c r="BH737" s="1" t="s">
        <v>1976</v>
      </c>
      <c r="BI737" s="2" t="s">
        <v>4305</v>
      </c>
      <c r="BJ737" s="1" t="s">
        <v>1947</v>
      </c>
      <c r="BK737" s="2" t="s">
        <v>8782</v>
      </c>
      <c r="BL737" s="1" t="s">
        <v>1959</v>
      </c>
      <c r="BM737" s="1" t="s">
        <v>4306</v>
      </c>
      <c r="BN737" s="1" t="s">
        <v>1875</v>
      </c>
      <c r="BO737" s="2" t="s">
        <v>4307</v>
      </c>
      <c r="BP737" s="1" t="s">
        <v>1877</v>
      </c>
      <c r="BQ737" s="2" t="s">
        <v>8783</v>
      </c>
    </row>
    <row r="738" spans="1:69" ht="288" x14ac:dyDescent="0.45">
      <c r="A738" s="5">
        <v>737</v>
      </c>
      <c r="B738" s="8" t="s">
        <v>506</v>
      </c>
      <c r="C738" s="6" t="s">
        <v>1816</v>
      </c>
      <c r="D738" s="7" t="s">
        <v>9794</v>
      </c>
      <c r="E738" s="1" t="s">
        <v>506</v>
      </c>
      <c r="F738" s="1"/>
      <c r="G738" s="1"/>
      <c r="J738" s="1" t="s">
        <v>9795</v>
      </c>
      <c r="K738" s="2" t="s">
        <v>4308</v>
      </c>
      <c r="L738" s="4" t="s">
        <v>8784</v>
      </c>
      <c r="P738" s="7" t="s">
        <v>1241</v>
      </c>
      <c r="Q738" s="14" t="str">
        <f>INDEX($L:$L, MATCH("own", $B:$B, 0))</f>
        <v>&lt;span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v>
      </c>
      <c r="AI738" s="15"/>
      <c r="AJ738" s="15"/>
      <c r="AU738" s="15"/>
      <c r="AV738" s="1" t="s">
        <v>1502</v>
      </c>
      <c r="AW738" s="2" t="s">
        <v>8555</v>
      </c>
      <c r="AX738" s="2"/>
      <c r="BG738" s="7" t="s">
        <v>1503</v>
      </c>
      <c r="BH738" s="1" t="s">
        <v>1872</v>
      </c>
      <c r="BI738" s="2" t="s">
        <v>4309</v>
      </c>
    </row>
    <row r="739" spans="1:69" ht="180" x14ac:dyDescent="0.45">
      <c r="A739" s="5">
        <v>738</v>
      </c>
      <c r="B739" s="8" t="s">
        <v>507</v>
      </c>
      <c r="C739" s="6" t="s">
        <v>1816</v>
      </c>
      <c r="D739" s="7" t="s">
        <v>9794</v>
      </c>
      <c r="E739" s="1" t="s">
        <v>4310</v>
      </c>
      <c r="F739" s="1" t="s">
        <v>1332</v>
      </c>
      <c r="G739" s="1"/>
      <c r="J739" s="1" t="s">
        <v>9795</v>
      </c>
      <c r="K739" s="2" t="s">
        <v>8785</v>
      </c>
      <c r="L739" s="3" t="s">
        <v>8786</v>
      </c>
      <c r="M739" s="1" t="s">
        <v>12211</v>
      </c>
      <c r="P739" s="7" t="s">
        <v>1241</v>
      </c>
      <c r="Q739"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739" s="13"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S739" s="13"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T739" s="13"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U739" s="13"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V739"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U739" s="15"/>
      <c r="AV739" s="1" t="s">
        <v>1502</v>
      </c>
      <c r="BG739" s="7" t="s">
        <v>1503</v>
      </c>
      <c r="BH739" s="1" t="s">
        <v>1947</v>
      </c>
      <c r="BI739" s="2" t="s">
        <v>8787</v>
      </c>
      <c r="BJ739" s="1" t="s">
        <v>1959</v>
      </c>
      <c r="BK739" s="2" t="s">
        <v>4311</v>
      </c>
      <c r="BL739" s="1" t="s">
        <v>1875</v>
      </c>
      <c r="BM739" s="2" t="s">
        <v>4312</v>
      </c>
    </row>
    <row r="740" spans="1:69" ht="144" x14ac:dyDescent="0.45">
      <c r="A740" s="5">
        <v>739</v>
      </c>
      <c r="B740" s="8" t="s">
        <v>508</v>
      </c>
      <c r="C740" s="6" t="s">
        <v>1816</v>
      </c>
      <c r="D740" s="7" t="s">
        <v>9794</v>
      </c>
      <c r="E740" s="1" t="s">
        <v>1392</v>
      </c>
      <c r="F740" s="1" t="s">
        <v>4313</v>
      </c>
      <c r="G740" s="1"/>
      <c r="J740" s="1" t="s">
        <v>9795</v>
      </c>
      <c r="K740" s="2"/>
      <c r="L740" s="3" t="s">
        <v>8788</v>
      </c>
      <c r="M740" s="1" t="s">
        <v>12175</v>
      </c>
      <c r="P740" s="7" t="s">
        <v>1241</v>
      </c>
      <c r="Q740" s="13"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740" s="13"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S740" s="13"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740" s="13" t="str">
        <f>INDEX($L:$L, MATCH("designate", $B:$B, 0))</f>
        <v>&lt;span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v>
      </c>
      <c r="U740" s="13"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U740" s="15"/>
      <c r="AV740" s="1" t="s">
        <v>1502</v>
      </c>
      <c r="BG740" s="7" t="s">
        <v>1503</v>
      </c>
      <c r="BH740" s="1" t="s">
        <v>1947</v>
      </c>
      <c r="BI740" s="2" t="s">
        <v>4314</v>
      </c>
      <c r="BJ740" s="1" t="s">
        <v>1959</v>
      </c>
      <c r="BK740" s="2" t="s">
        <v>4315</v>
      </c>
      <c r="BL740" s="1" t="s">
        <v>1875</v>
      </c>
      <c r="BM740" s="2" t="s">
        <v>4316</v>
      </c>
      <c r="BO740" s="2"/>
    </row>
    <row r="741" spans="1:69" ht="144" x14ac:dyDescent="0.45">
      <c r="A741" s="5">
        <v>740</v>
      </c>
      <c r="B741" s="8" t="s">
        <v>509</v>
      </c>
      <c r="C741" s="6" t="s">
        <v>1816</v>
      </c>
      <c r="D741" s="7" t="s">
        <v>9794</v>
      </c>
      <c r="E741" s="1" t="s">
        <v>1346</v>
      </c>
      <c r="F741" s="1" t="s">
        <v>1467</v>
      </c>
      <c r="G741" s="1" t="s">
        <v>4317</v>
      </c>
      <c r="J741" s="1" t="s">
        <v>9795</v>
      </c>
      <c r="K741" s="2" t="s">
        <v>8789</v>
      </c>
      <c r="L741" s="2" t="s">
        <v>8790</v>
      </c>
      <c r="M741" s="1" t="s">
        <v>12184</v>
      </c>
      <c r="P741" s="7" t="s">
        <v>1241</v>
      </c>
      <c r="Q741" s="13"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741" s="13"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S741" s="13"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T741" s="13"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U741" s="13"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U741" s="15"/>
      <c r="AV741" s="1" t="s">
        <v>1502</v>
      </c>
      <c r="BG741" s="7" t="s">
        <v>1503</v>
      </c>
      <c r="BH741" s="1" t="s">
        <v>1947</v>
      </c>
      <c r="BI741" s="2" t="s">
        <v>4318</v>
      </c>
      <c r="BJ741" s="1" t="s">
        <v>2026</v>
      </c>
      <c r="BK741" s="1" t="s">
        <v>4319</v>
      </c>
      <c r="BL741" s="1" t="s">
        <v>1959</v>
      </c>
      <c r="BM741" s="2" t="s">
        <v>4320</v>
      </c>
      <c r="BN741" s="1" t="s">
        <v>1875</v>
      </c>
      <c r="BO741" s="2" t="s">
        <v>4321</v>
      </c>
    </row>
    <row r="742" spans="1:69" ht="108" x14ac:dyDescent="0.45">
      <c r="A742" s="5">
        <v>741</v>
      </c>
      <c r="B742" s="8" t="s">
        <v>4323</v>
      </c>
      <c r="C742" s="6" t="s">
        <v>6851</v>
      </c>
      <c r="D742" s="7" t="s">
        <v>9794</v>
      </c>
      <c r="E742" s="1" t="s">
        <v>1836</v>
      </c>
      <c r="F742" s="1" t="s">
        <v>1837</v>
      </c>
      <c r="G742" s="1"/>
      <c r="J742" s="1" t="s">
        <v>9795</v>
      </c>
      <c r="K742" s="2" t="s">
        <v>8791</v>
      </c>
      <c r="L742" s="4" t="s">
        <v>8792</v>
      </c>
      <c r="P742" s="7" t="s">
        <v>1241</v>
      </c>
      <c r="Q742" s="13"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V742" s="1" t="s">
        <v>1502</v>
      </c>
      <c r="BG742" s="7" t="s">
        <v>1503</v>
      </c>
      <c r="BH742" s="1" t="s">
        <v>1976</v>
      </c>
      <c r="BI742" s="1" t="s">
        <v>4324</v>
      </c>
      <c r="BJ742" s="1" t="s">
        <v>4000</v>
      </c>
      <c r="BK742" s="1" t="s">
        <v>4325</v>
      </c>
      <c r="BL742" s="1" t="s">
        <v>1872</v>
      </c>
      <c r="BM742" s="2" t="s">
        <v>4326</v>
      </c>
    </row>
    <row r="743" spans="1:69" ht="234" x14ac:dyDescent="0.45">
      <c r="A743" s="5">
        <v>742</v>
      </c>
      <c r="B743" s="8" t="s">
        <v>1838</v>
      </c>
      <c r="C743" s="6" t="s">
        <v>6851</v>
      </c>
      <c r="D743" s="7" t="s">
        <v>9794</v>
      </c>
      <c r="E743" s="1" t="s">
        <v>1839</v>
      </c>
      <c r="F743" s="1" t="s">
        <v>1840</v>
      </c>
      <c r="G743" s="1"/>
      <c r="J743" s="1" t="s">
        <v>9795</v>
      </c>
      <c r="K743" s="2" t="s">
        <v>8793</v>
      </c>
      <c r="L743" s="9" t="s">
        <v>8794</v>
      </c>
      <c r="M743" s="1" t="s">
        <v>12267</v>
      </c>
      <c r="P743" s="7" t="s">
        <v>1241</v>
      </c>
      <c r="Q743" s="14" t="str">
        <f>INDEX($L:$L, MATCH("literary", $B:$B, 0))</f>
        <v>&lt;span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v>
      </c>
      <c r="AU743" s="15"/>
      <c r="AV743" s="1" t="s">
        <v>1502</v>
      </c>
      <c r="BG743" s="7" t="s">
        <v>1503</v>
      </c>
      <c r="BH743" s="1" t="s">
        <v>1947</v>
      </c>
      <c r="BI743" s="2" t="s">
        <v>4327</v>
      </c>
      <c r="BJ743" s="1" t="s">
        <v>1875</v>
      </c>
      <c r="BK743" s="2" t="s">
        <v>4328</v>
      </c>
      <c r="BL743" s="1" t="s">
        <v>1877</v>
      </c>
      <c r="BM743" s="2" t="s">
        <v>4329</v>
      </c>
    </row>
    <row r="744" spans="1:69" ht="108" x14ac:dyDescent="0.45">
      <c r="A744" s="5">
        <v>743</v>
      </c>
      <c r="B744" s="8" t="s">
        <v>1841</v>
      </c>
      <c r="C744" s="6" t="s">
        <v>6851</v>
      </c>
      <c r="D744" s="7" t="s">
        <v>9794</v>
      </c>
      <c r="E744" s="1" t="s">
        <v>1937</v>
      </c>
      <c r="F744" s="1" t="s">
        <v>1748</v>
      </c>
      <c r="G744" s="1"/>
      <c r="J744" s="1" t="s">
        <v>9795</v>
      </c>
      <c r="K744" s="2" t="s">
        <v>8795</v>
      </c>
      <c r="L744" s="9" t="s">
        <v>8796</v>
      </c>
      <c r="P744" s="7" t="s">
        <v>1241</v>
      </c>
      <c r="Q744" s="13" t="str">
        <f>INDEX($L:$L, MATCH("inherit", $B:$B, 0))</f>
        <v>&lt;span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v>
      </c>
      <c r="AU744" s="15"/>
      <c r="AV744" s="1" t="s">
        <v>1502</v>
      </c>
      <c r="BG744" s="7" t="s">
        <v>1503</v>
      </c>
      <c r="BH744" s="1" t="s">
        <v>1947</v>
      </c>
      <c r="BI744" s="2" t="s">
        <v>4330</v>
      </c>
      <c r="BJ744" s="1" t="s">
        <v>2036</v>
      </c>
      <c r="BK744" s="2" t="s">
        <v>4331</v>
      </c>
      <c r="BL744" s="1" t="s">
        <v>1959</v>
      </c>
      <c r="BM744" s="2" t="s">
        <v>4332</v>
      </c>
      <c r="BN744" s="1" t="s">
        <v>1875</v>
      </c>
      <c r="BO744" s="2" t="s">
        <v>4333</v>
      </c>
    </row>
    <row r="745" spans="1:69" ht="288" x14ac:dyDescent="0.45">
      <c r="A745" s="5">
        <v>744</v>
      </c>
      <c r="B745" s="8" t="s">
        <v>510</v>
      </c>
      <c r="C745" s="6" t="s">
        <v>6851</v>
      </c>
      <c r="D745" s="7" t="s">
        <v>9794</v>
      </c>
      <c r="E745" s="1" t="s">
        <v>1842</v>
      </c>
      <c r="F745" s="1" t="s">
        <v>1584</v>
      </c>
      <c r="G745" s="1"/>
      <c r="J745" s="1" t="s">
        <v>9795</v>
      </c>
      <c r="K745" s="2" t="s">
        <v>4334</v>
      </c>
      <c r="L745" s="2" t="s">
        <v>8797</v>
      </c>
      <c r="M745" s="1" t="s">
        <v>12268</v>
      </c>
      <c r="P745" s="7" t="s">
        <v>1241</v>
      </c>
      <c r="Q745" s="14"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R745" s="14"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S745" s="14"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T745" s="14"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v>
      </c>
      <c r="U745" s="15"/>
      <c r="V745" s="15"/>
      <c r="W745" s="15"/>
      <c r="AU745" s="15"/>
      <c r="AV745" s="1" t="s">
        <v>1502</v>
      </c>
      <c r="BG745" s="7" t="s">
        <v>1503</v>
      </c>
      <c r="BH745" s="1" t="s">
        <v>1947</v>
      </c>
      <c r="BI745" s="2" t="s">
        <v>8798</v>
      </c>
      <c r="BJ745" s="1" t="s">
        <v>1877</v>
      </c>
      <c r="BK745" s="2" t="s">
        <v>4335</v>
      </c>
    </row>
    <row r="746" spans="1:69" ht="126" x14ac:dyDescent="0.45">
      <c r="A746" s="5">
        <v>745</v>
      </c>
      <c r="B746" s="8" t="s">
        <v>511</v>
      </c>
      <c r="C746" s="6" t="s">
        <v>6851</v>
      </c>
      <c r="D746" s="7" t="s">
        <v>9794</v>
      </c>
      <c r="E746" s="6" t="s">
        <v>1843</v>
      </c>
      <c r="F746" s="1" t="s">
        <v>1454</v>
      </c>
      <c r="G746" s="1"/>
      <c r="J746" s="1" t="s">
        <v>9795</v>
      </c>
      <c r="K746" s="2" t="s">
        <v>8799</v>
      </c>
      <c r="L746" s="9" t="s">
        <v>8800</v>
      </c>
      <c r="P746" s="7" t="s">
        <v>1241</v>
      </c>
      <c r="AU746" s="15"/>
      <c r="AV746" s="1" t="s">
        <v>1502</v>
      </c>
      <c r="BG746" s="7" t="s">
        <v>1503</v>
      </c>
      <c r="BH746" s="1" t="s">
        <v>1947</v>
      </c>
      <c r="BI746" s="2" t="s">
        <v>4336</v>
      </c>
      <c r="BJ746" s="1" t="s">
        <v>1959</v>
      </c>
      <c r="BK746" s="2" t="s">
        <v>4337</v>
      </c>
      <c r="BL746" s="1" t="s">
        <v>1875</v>
      </c>
      <c r="BM746" s="2" t="s">
        <v>4338</v>
      </c>
    </row>
    <row r="747" spans="1:69" ht="108" x14ac:dyDescent="0.45">
      <c r="A747" s="5">
        <v>746</v>
      </c>
      <c r="B747" s="8" t="s">
        <v>512</v>
      </c>
      <c r="C747" s="6" t="s">
        <v>6851</v>
      </c>
      <c r="D747" s="7" t="s">
        <v>9794</v>
      </c>
      <c r="E747" s="1" t="s">
        <v>1454</v>
      </c>
      <c r="F747" s="1" t="s">
        <v>9027</v>
      </c>
      <c r="G747" s="1"/>
      <c r="J747" s="1" t="s">
        <v>9795</v>
      </c>
      <c r="K747" s="2" t="s">
        <v>8801</v>
      </c>
      <c r="L747" s="2" t="s">
        <v>12135</v>
      </c>
      <c r="M747" s="1" t="s">
        <v>12248</v>
      </c>
      <c r="P747" s="7" t="s">
        <v>1241</v>
      </c>
      <c r="Q747" s="13"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747" s="13"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S747" s="13"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T747" s="13"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U747" s="13"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747" s="13"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AU747" s="15"/>
      <c r="AV747" s="1" t="s">
        <v>1502</v>
      </c>
      <c r="BG747" s="7" t="s">
        <v>1503</v>
      </c>
      <c r="BH747" s="1" t="s">
        <v>1947</v>
      </c>
      <c r="BI747" s="2" t="s">
        <v>4339</v>
      </c>
      <c r="BJ747" s="1" t="s">
        <v>1959</v>
      </c>
      <c r="BK747" s="2" t="s">
        <v>4340</v>
      </c>
      <c r="BL747" s="1" t="s">
        <v>4341</v>
      </c>
      <c r="BM747" s="1" t="s">
        <v>4342</v>
      </c>
      <c r="BN747" s="1" t="s">
        <v>1877</v>
      </c>
      <c r="BO747" s="2" t="s">
        <v>4343</v>
      </c>
    </row>
    <row r="748" spans="1:69" ht="108" x14ac:dyDescent="0.45">
      <c r="A748" s="5">
        <v>747</v>
      </c>
      <c r="B748" s="8" t="s">
        <v>513</v>
      </c>
      <c r="C748" s="6" t="s">
        <v>6851</v>
      </c>
      <c r="D748" s="7" t="s">
        <v>9794</v>
      </c>
      <c r="E748" s="1" t="s">
        <v>1844</v>
      </c>
      <c r="F748" s="1" t="s">
        <v>1786</v>
      </c>
      <c r="G748" s="1"/>
      <c r="J748" s="1" t="s">
        <v>9795</v>
      </c>
      <c r="K748" s="2" t="s">
        <v>8802</v>
      </c>
      <c r="L748" s="9" t="s">
        <v>12136</v>
      </c>
      <c r="P748" s="7" t="s">
        <v>1241</v>
      </c>
      <c r="Q748" s="13" t="str">
        <f>INDEX($L:$L, MATCH("underlie", $B:$B, 0))</f>
        <v>&lt;span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v>
      </c>
      <c r="AV748" s="1" t="s">
        <v>1502</v>
      </c>
      <c r="BG748" s="7" t="s">
        <v>1503</v>
      </c>
      <c r="BH748" s="1" t="s">
        <v>1872</v>
      </c>
      <c r="BI748" s="1" t="s">
        <v>4344</v>
      </c>
      <c r="BJ748" s="1" t="s">
        <v>1875</v>
      </c>
      <c r="BK748" s="2" t="s">
        <v>4345</v>
      </c>
      <c r="BL748" s="1" t="s">
        <v>1877</v>
      </c>
      <c r="BM748" s="2" t="s">
        <v>4346</v>
      </c>
    </row>
    <row r="749" spans="1:69" ht="108" x14ac:dyDescent="0.45">
      <c r="A749" s="5">
        <v>748</v>
      </c>
      <c r="B749" s="8" t="s">
        <v>514</v>
      </c>
      <c r="C749" s="6" t="s">
        <v>6851</v>
      </c>
      <c r="D749" s="7" t="s">
        <v>9794</v>
      </c>
      <c r="E749" s="1" t="s">
        <v>4347</v>
      </c>
      <c r="F749" s="1" t="s">
        <v>1695</v>
      </c>
      <c r="G749" s="1"/>
      <c r="J749" s="1" t="s">
        <v>9795</v>
      </c>
      <c r="K749" s="2" t="s">
        <v>8803</v>
      </c>
      <c r="L749" s="2" t="s">
        <v>12153</v>
      </c>
      <c r="M749" s="1" t="s">
        <v>12220</v>
      </c>
      <c r="P749" s="7" t="s">
        <v>1241</v>
      </c>
      <c r="Q749" s="13"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749" s="13"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749" s="13"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749" s="13"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749" s="13"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V749" s="13"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W749" s="13"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749" s="15"/>
      <c r="AV749" s="1" t="s">
        <v>1502</v>
      </c>
      <c r="BG749" s="7" t="s">
        <v>1503</v>
      </c>
      <c r="BH749" s="1" t="s">
        <v>1947</v>
      </c>
      <c r="BI749" s="2" t="s">
        <v>4348</v>
      </c>
      <c r="BJ749" s="1" t="s">
        <v>2036</v>
      </c>
      <c r="BK749" s="2" t="s">
        <v>4349</v>
      </c>
      <c r="BL749" s="1" t="s">
        <v>1875</v>
      </c>
      <c r="BM749" s="2" t="s">
        <v>4350</v>
      </c>
      <c r="BN749" s="1" t="s">
        <v>1877</v>
      </c>
      <c r="BO749" s="2" t="s">
        <v>4351</v>
      </c>
    </row>
    <row r="750" spans="1:69" ht="180" x14ac:dyDescent="0.45">
      <c r="A750" s="5">
        <v>749</v>
      </c>
      <c r="B750" s="8" t="s">
        <v>515</v>
      </c>
      <c r="C750" s="6" t="s">
        <v>6851</v>
      </c>
      <c r="D750" s="7" t="s">
        <v>9794</v>
      </c>
      <c r="E750" s="1" t="s">
        <v>1845</v>
      </c>
      <c r="F750" s="1" t="s">
        <v>27</v>
      </c>
      <c r="G750" s="1"/>
      <c r="J750" s="1" t="s">
        <v>9795</v>
      </c>
      <c r="K750" s="2" t="s">
        <v>8804</v>
      </c>
      <c r="L750" s="9" t="s">
        <v>12137</v>
      </c>
      <c r="P750" s="7" t="s">
        <v>1241</v>
      </c>
      <c r="AU750" s="15"/>
      <c r="AV750" s="1" t="s">
        <v>1502</v>
      </c>
      <c r="BG750" s="7" t="s">
        <v>1503</v>
      </c>
      <c r="BH750" s="1" t="s">
        <v>2458</v>
      </c>
      <c r="BI750" s="2" t="s">
        <v>4352</v>
      </c>
      <c r="BJ750" s="1" t="s">
        <v>1996</v>
      </c>
      <c r="BK750" s="2" t="s">
        <v>8805</v>
      </c>
      <c r="BL750" s="1" t="s">
        <v>1877</v>
      </c>
      <c r="BM750" s="2" t="s">
        <v>4353</v>
      </c>
      <c r="BN750" s="1" t="s">
        <v>3497</v>
      </c>
      <c r="BO750" s="2" t="s">
        <v>4354</v>
      </c>
    </row>
    <row r="751" spans="1:69" ht="126" x14ac:dyDescent="0.45">
      <c r="A751" s="5">
        <v>750</v>
      </c>
      <c r="B751" s="8" t="s">
        <v>1846</v>
      </c>
      <c r="C751" s="6" t="s">
        <v>6851</v>
      </c>
      <c r="D751" s="7" t="s">
        <v>9794</v>
      </c>
      <c r="E751" s="1" t="s">
        <v>31</v>
      </c>
      <c r="F751" s="1" t="s">
        <v>1847</v>
      </c>
      <c r="G751" s="1" t="s">
        <v>1584</v>
      </c>
      <c r="J751" s="1" t="s">
        <v>9795</v>
      </c>
      <c r="K751" s="2" t="s">
        <v>8806</v>
      </c>
      <c r="L751" s="9" t="s">
        <v>12138</v>
      </c>
      <c r="P751" s="7" t="s">
        <v>1241</v>
      </c>
      <c r="Q751" s="13"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AU751" s="15"/>
      <c r="AV751" s="1" t="s">
        <v>1502</v>
      </c>
      <c r="BG751" s="7" t="s">
        <v>1503</v>
      </c>
      <c r="BH751" s="1" t="s">
        <v>1947</v>
      </c>
      <c r="BI751" s="2" t="s">
        <v>8807</v>
      </c>
      <c r="BJ751" s="1" t="s">
        <v>1959</v>
      </c>
      <c r="BK751" s="1" t="s">
        <v>4355</v>
      </c>
      <c r="BL751" s="1" t="s">
        <v>1875</v>
      </c>
      <c r="BM751" s="2" t="s">
        <v>4356</v>
      </c>
      <c r="BN751" s="1" t="s">
        <v>1877</v>
      </c>
      <c r="BO751" s="2" t="s">
        <v>4357</v>
      </c>
    </row>
    <row r="752" spans="1:69" ht="180" x14ac:dyDescent="0.45">
      <c r="A752" s="5">
        <v>751</v>
      </c>
      <c r="B752" s="8" t="s">
        <v>516</v>
      </c>
      <c r="C752" s="6" t="s">
        <v>6851</v>
      </c>
      <c r="D752" s="7" t="s">
        <v>9794</v>
      </c>
      <c r="E752" s="1" t="s">
        <v>1454</v>
      </c>
      <c r="F752" s="1" t="s">
        <v>1848</v>
      </c>
      <c r="G752" s="1" t="s">
        <v>1695</v>
      </c>
      <c r="J752" s="1" t="s">
        <v>9795</v>
      </c>
      <c r="K752" s="2" t="s">
        <v>8808</v>
      </c>
      <c r="L752" s="9" t="s">
        <v>12139</v>
      </c>
      <c r="P752" s="7" t="s">
        <v>1241</v>
      </c>
      <c r="Q752" s="15"/>
      <c r="AU752" s="15"/>
      <c r="AV752" s="1" t="s">
        <v>1502</v>
      </c>
      <c r="BG752" s="7" t="s">
        <v>1503</v>
      </c>
      <c r="BH752" s="1" t="s">
        <v>1947</v>
      </c>
      <c r="BI752" s="2" t="s">
        <v>4358</v>
      </c>
      <c r="BJ752" s="1" t="s">
        <v>1877</v>
      </c>
      <c r="BK752" s="2" t="s">
        <v>4359</v>
      </c>
    </row>
    <row r="753" spans="1:71" ht="144" x14ac:dyDescent="0.45">
      <c r="A753" s="5">
        <v>752</v>
      </c>
      <c r="B753" s="8" t="s">
        <v>517</v>
      </c>
      <c r="C753" s="6" t="s">
        <v>6851</v>
      </c>
      <c r="D753" s="7" t="s">
        <v>9794</v>
      </c>
      <c r="E753" s="1" t="s">
        <v>517</v>
      </c>
      <c r="F753" s="1"/>
      <c r="G753" s="1"/>
      <c r="J753" s="1" t="s">
        <v>9795</v>
      </c>
      <c r="K753" s="2" t="s">
        <v>8809</v>
      </c>
      <c r="L753" s="2" t="s">
        <v>12140</v>
      </c>
      <c r="M753" s="1" t="s">
        <v>12269</v>
      </c>
      <c r="P753" s="7" t="s">
        <v>1241</v>
      </c>
      <c r="Q753"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753"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753" s="13"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753"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753" s="13"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753" s="13"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753" s="13"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753" s="13"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753" s="15"/>
      <c r="AV753" s="1" t="s">
        <v>1502</v>
      </c>
      <c r="BG753" s="7" t="s">
        <v>1503</v>
      </c>
      <c r="BH753" s="1" t="s">
        <v>1947</v>
      </c>
      <c r="BI753" s="2" t="s">
        <v>8810</v>
      </c>
      <c r="BJ753" s="1" t="s">
        <v>1875</v>
      </c>
      <c r="BK753" s="2" t="s">
        <v>4360</v>
      </c>
      <c r="BL753" s="1" t="s">
        <v>1877</v>
      </c>
      <c r="BM753" s="2" t="s">
        <v>4361</v>
      </c>
      <c r="BN753" s="1" t="s">
        <v>3497</v>
      </c>
      <c r="BO753" s="2" t="s">
        <v>4362</v>
      </c>
    </row>
    <row r="754" spans="1:71" ht="72" x14ac:dyDescent="0.45">
      <c r="A754" s="5">
        <v>753</v>
      </c>
      <c r="B754" s="8" t="s">
        <v>518</v>
      </c>
      <c r="C754" s="6" t="s">
        <v>6851</v>
      </c>
      <c r="D754" s="7" t="s">
        <v>9794</v>
      </c>
      <c r="E754" s="6" t="s">
        <v>518</v>
      </c>
      <c r="F754" s="1"/>
      <c r="G754" s="1"/>
      <c r="J754" s="1" t="s">
        <v>9795</v>
      </c>
      <c r="K754" s="2" t="s">
        <v>8811</v>
      </c>
      <c r="L754" s="2" t="s">
        <v>8812</v>
      </c>
      <c r="P754" s="7" t="s">
        <v>1241</v>
      </c>
      <c r="AU754" s="15"/>
      <c r="AV754" s="1" t="s">
        <v>1502</v>
      </c>
      <c r="BG754" s="7" t="s">
        <v>1503</v>
      </c>
      <c r="BH754" s="1" t="s">
        <v>1947</v>
      </c>
      <c r="BI754" s="2" t="s">
        <v>4363</v>
      </c>
      <c r="BJ754" s="1" t="s">
        <v>1959</v>
      </c>
      <c r="BK754" s="1" t="s">
        <v>4364</v>
      </c>
      <c r="BL754" s="1" t="s">
        <v>1875</v>
      </c>
      <c r="BM754" s="2" t="s">
        <v>4365</v>
      </c>
      <c r="BN754" s="1" t="s">
        <v>1877</v>
      </c>
      <c r="BO754" s="2" t="s">
        <v>4366</v>
      </c>
    </row>
    <row r="755" spans="1:71" ht="72" x14ac:dyDescent="0.45">
      <c r="A755" s="5">
        <v>754</v>
      </c>
      <c r="B755" s="8" t="s">
        <v>519</v>
      </c>
      <c r="C755" s="6" t="s">
        <v>6851</v>
      </c>
      <c r="D755" s="7" t="s">
        <v>9794</v>
      </c>
      <c r="E755" s="6" t="s">
        <v>519</v>
      </c>
      <c r="F755" s="1"/>
      <c r="G755" s="1"/>
      <c r="J755" s="1" t="s">
        <v>9795</v>
      </c>
      <c r="K755" s="2" t="s">
        <v>8813</v>
      </c>
      <c r="L755" s="9" t="s">
        <v>8814</v>
      </c>
      <c r="P755" s="7" t="s">
        <v>1241</v>
      </c>
      <c r="AV755" s="1" t="s">
        <v>1502</v>
      </c>
      <c r="BG755" s="7" t="s">
        <v>1503</v>
      </c>
      <c r="BH755" s="1" t="s">
        <v>1872</v>
      </c>
      <c r="BI755" s="1" t="s">
        <v>4367</v>
      </c>
      <c r="BJ755" s="1" t="s">
        <v>1875</v>
      </c>
      <c r="BK755" s="2" t="s">
        <v>4368</v>
      </c>
    </row>
    <row r="756" spans="1:71" ht="54" x14ac:dyDescent="0.45">
      <c r="A756" s="5">
        <v>755</v>
      </c>
      <c r="B756" s="8" t="s">
        <v>520</v>
      </c>
      <c r="C756" s="6" t="s">
        <v>6851</v>
      </c>
      <c r="D756" s="7" t="s">
        <v>9794</v>
      </c>
      <c r="E756" s="6" t="s">
        <v>520</v>
      </c>
      <c r="F756" s="1"/>
      <c r="G756" s="1"/>
      <c r="J756" s="1" t="s">
        <v>9795</v>
      </c>
      <c r="K756" s="2" t="s">
        <v>1849</v>
      </c>
      <c r="L756" s="9" t="s">
        <v>8815</v>
      </c>
      <c r="P756" s="7" t="s">
        <v>1241</v>
      </c>
      <c r="AV756" s="1" t="s">
        <v>1502</v>
      </c>
      <c r="BG756" s="7" t="s">
        <v>1503</v>
      </c>
      <c r="BH756" s="1" t="s">
        <v>1872</v>
      </c>
      <c r="BI756" s="1" t="s">
        <v>4369</v>
      </c>
      <c r="BJ756" s="1" t="s">
        <v>1875</v>
      </c>
      <c r="BK756" s="2" t="s">
        <v>4370</v>
      </c>
      <c r="BL756" s="1" t="s">
        <v>1877</v>
      </c>
      <c r="BM756" s="2" t="s">
        <v>4371</v>
      </c>
    </row>
    <row r="757" spans="1:71" ht="216" x14ac:dyDescent="0.45">
      <c r="A757" s="5">
        <v>756</v>
      </c>
      <c r="B757" s="8" t="s">
        <v>521</v>
      </c>
      <c r="C757" s="6" t="s">
        <v>6851</v>
      </c>
      <c r="D757" s="7" t="s">
        <v>9794</v>
      </c>
      <c r="E757" s="1" t="s">
        <v>1850</v>
      </c>
      <c r="F757" s="1" t="s">
        <v>1851</v>
      </c>
      <c r="G757" s="1"/>
      <c r="J757" s="1" t="s">
        <v>9795</v>
      </c>
      <c r="K757" s="2"/>
      <c r="L757" s="3" t="s">
        <v>8825</v>
      </c>
      <c r="P757" s="7" t="s">
        <v>1241</v>
      </c>
      <c r="Q757" s="13" t="str">
        <f>INDEX($L:$L, MATCH("sacred", $B:$B, 0))</f>
        <v>&lt;span class="w"&gt;&lt;b&gt;【1098.sacred：神聖な】&lt;/b&gt;&lt;/span&gt;
&lt;span class="ml"&gt;ラテン語sacer（神聖な）
&lt;span class="spacer"&gt;&lt;/span&gt;この語の核「人や物が俗世から離れ、神と結びつく」。宗教的な儀式を通して神に属する物となることから、「神聖な」という意味になる。日本で言えば、神様へのお供え物は神聖だというイメージ。
&lt;span class="spacer"&gt;&lt;/span&gt;またそこから宗教的なニュアンスが薄れて、他者が無闇に触れてはならないほど「非常に重要な, 大切な」という意味でも使われる。&lt;/span&gt;</v>
      </c>
      <c r="AU757" s="15"/>
      <c r="AV757" s="1" t="s">
        <v>1502</v>
      </c>
      <c r="BG757" s="7" t="s">
        <v>1503</v>
      </c>
      <c r="BH757" s="1" t="s">
        <v>1947</v>
      </c>
      <c r="BI757" s="2" t="s">
        <v>4372</v>
      </c>
      <c r="BJ757" s="1" t="s">
        <v>1959</v>
      </c>
      <c r="BK757" s="2" t="s">
        <v>4373</v>
      </c>
      <c r="BL757" s="1" t="s">
        <v>1875</v>
      </c>
      <c r="BM757" s="2" t="s">
        <v>4374</v>
      </c>
      <c r="BN757" s="1" t="s">
        <v>1877</v>
      </c>
      <c r="BO757" s="2" t="s">
        <v>4375</v>
      </c>
    </row>
    <row r="758" spans="1:71" ht="198" x14ac:dyDescent="0.45">
      <c r="A758" s="5">
        <v>757</v>
      </c>
      <c r="B758" s="8" t="s">
        <v>522</v>
      </c>
      <c r="C758" s="6" t="s">
        <v>6851</v>
      </c>
      <c r="D758" s="7" t="s">
        <v>9794</v>
      </c>
      <c r="E758" s="6" t="s">
        <v>522</v>
      </c>
      <c r="F758" s="1"/>
      <c r="G758" s="1"/>
      <c r="J758" s="1" t="s">
        <v>9795</v>
      </c>
      <c r="K758" s="2" t="s">
        <v>8826</v>
      </c>
      <c r="L758" s="3" t="s">
        <v>8827</v>
      </c>
      <c r="M758" s="1" t="s">
        <v>12217</v>
      </c>
      <c r="P758" s="7" t="s">
        <v>1241</v>
      </c>
      <c r="Q758" s="14" t="str">
        <f>INDEX($L:$L, MATCH("medium", $B:$B, 0))</f>
        <v>&lt;span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v>
      </c>
      <c r="R758" s="14" t="str">
        <f>INDEX($L:$L, MATCH("immediate", $B:$B, 0))</f>
        <v>&lt;span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v>
      </c>
      <c r="S758" s="14" t="str">
        <f>INDEX($L:$L, MATCH("medieval", $B:$B, 0))</f>
        <v>&lt;span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v>
      </c>
      <c r="T758" s="15"/>
      <c r="AU758" s="15"/>
      <c r="AV758" s="1" t="s">
        <v>1502</v>
      </c>
      <c r="BG758" s="7" t="s">
        <v>1503</v>
      </c>
      <c r="BH758" s="1" t="s">
        <v>1947</v>
      </c>
      <c r="BI758" s="2" t="s">
        <v>4376</v>
      </c>
      <c r="BJ758" s="1" t="s">
        <v>2036</v>
      </c>
      <c r="BK758" s="1" t="s">
        <v>4377</v>
      </c>
      <c r="BL758" s="1" t="s">
        <v>1959</v>
      </c>
      <c r="BM758" s="1" t="s">
        <v>4378</v>
      </c>
      <c r="BN758" s="1" t="s">
        <v>1875</v>
      </c>
      <c r="BO758" s="2" t="s">
        <v>4379</v>
      </c>
      <c r="BP758" s="1" t="s">
        <v>1877</v>
      </c>
      <c r="BQ758" s="2" t="s">
        <v>4380</v>
      </c>
    </row>
    <row r="759" spans="1:71" ht="162" x14ac:dyDescent="0.45">
      <c r="A759" s="5">
        <v>758</v>
      </c>
      <c r="B759" s="8" t="s">
        <v>523</v>
      </c>
      <c r="C759" s="6" t="s">
        <v>6851</v>
      </c>
      <c r="D759" s="7" t="s">
        <v>9794</v>
      </c>
      <c r="E759" s="1" t="s">
        <v>4545</v>
      </c>
      <c r="F759" s="1" t="s">
        <v>1584</v>
      </c>
      <c r="G759" s="1"/>
      <c r="J759" s="1" t="s">
        <v>9795</v>
      </c>
      <c r="K759" s="2"/>
      <c r="L759" s="2" t="s">
        <v>8816</v>
      </c>
      <c r="M759" s="1" t="s">
        <v>12252</v>
      </c>
      <c r="P759" s="7" t="s">
        <v>1241</v>
      </c>
      <c r="Q759" s="13"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R759" s="13"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S759" s="13"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T759" s="13"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AU759" s="15"/>
      <c r="AV759" s="1" t="s">
        <v>1502</v>
      </c>
      <c r="BG759" s="7" t="s">
        <v>1503</v>
      </c>
      <c r="BH759" s="1" t="s">
        <v>1947</v>
      </c>
      <c r="BI759" s="2" t="s">
        <v>5084</v>
      </c>
      <c r="BJ759" s="1" t="s">
        <v>1959</v>
      </c>
      <c r="BK759" s="1" t="s">
        <v>4381</v>
      </c>
      <c r="BL759" s="1" t="s">
        <v>1875</v>
      </c>
      <c r="BM759" s="2" t="s">
        <v>4382</v>
      </c>
      <c r="BN759" s="1" t="s">
        <v>1877</v>
      </c>
      <c r="BO759" s="2" t="s">
        <v>4383</v>
      </c>
      <c r="BP759" s="1" t="s">
        <v>3497</v>
      </c>
      <c r="BQ759" s="2" t="s">
        <v>4384</v>
      </c>
    </row>
    <row r="760" spans="1:71" ht="90" x14ac:dyDescent="0.45">
      <c r="A760" s="5">
        <v>759</v>
      </c>
      <c r="B760" s="8" t="s">
        <v>524</v>
      </c>
      <c r="C760" s="6" t="s">
        <v>6851</v>
      </c>
      <c r="D760" s="7" t="s">
        <v>9794</v>
      </c>
      <c r="E760" s="1" t="s">
        <v>524</v>
      </c>
      <c r="F760" s="1"/>
      <c r="G760" s="1"/>
      <c r="J760" s="1" t="s">
        <v>9795</v>
      </c>
      <c r="K760" s="2" t="s">
        <v>8817</v>
      </c>
      <c r="L760" s="2" t="s">
        <v>8818</v>
      </c>
      <c r="P760" s="7" t="s">
        <v>1241</v>
      </c>
      <c r="Q760" s="13"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760" s="13"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S760" s="13"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T760" s="13"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AU760" s="15"/>
      <c r="AV760" s="1" t="s">
        <v>1502</v>
      </c>
      <c r="BG760" s="7" t="s">
        <v>1503</v>
      </c>
      <c r="BH760" s="1" t="s">
        <v>1947</v>
      </c>
      <c r="BI760" s="2" t="s">
        <v>4385</v>
      </c>
      <c r="BJ760" s="1" t="s">
        <v>1994</v>
      </c>
      <c r="BK760" s="1" t="s">
        <v>4386</v>
      </c>
      <c r="BL760" s="1" t="s">
        <v>1996</v>
      </c>
      <c r="BM760" s="2" t="s">
        <v>4387</v>
      </c>
      <c r="BN760" s="1" t="s">
        <v>1875</v>
      </c>
      <c r="BO760" s="2" t="s">
        <v>4388</v>
      </c>
      <c r="BP760" s="1" t="s">
        <v>1877</v>
      </c>
      <c r="BQ760" s="2" t="s">
        <v>4389</v>
      </c>
      <c r="BR760" s="1" t="s">
        <v>3497</v>
      </c>
      <c r="BS760" s="1" t="s">
        <v>4390</v>
      </c>
    </row>
    <row r="761" spans="1:71" ht="162" x14ac:dyDescent="0.45">
      <c r="A761" s="5">
        <v>760</v>
      </c>
      <c r="B761" s="8" t="s">
        <v>525</v>
      </c>
      <c r="C761" s="6" t="s">
        <v>6851</v>
      </c>
      <c r="D761" s="7" t="s">
        <v>9794</v>
      </c>
      <c r="E761" s="1" t="s">
        <v>46</v>
      </c>
      <c r="F761" s="1" t="s">
        <v>1835</v>
      </c>
      <c r="G761" s="1"/>
      <c r="J761" s="1" t="s">
        <v>9795</v>
      </c>
      <c r="K761" s="2" t="s">
        <v>8819</v>
      </c>
      <c r="L761" s="2" t="s">
        <v>8820</v>
      </c>
      <c r="P761" s="7" t="s">
        <v>1241</v>
      </c>
      <c r="Q761" s="13"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U761" s="15"/>
      <c r="AV761" s="1" t="s">
        <v>1502</v>
      </c>
      <c r="BG761" s="7" t="s">
        <v>1503</v>
      </c>
      <c r="BH761" s="1" t="s">
        <v>1947</v>
      </c>
      <c r="BI761" s="2" t="s">
        <v>4391</v>
      </c>
      <c r="BJ761" s="1" t="s">
        <v>1959</v>
      </c>
      <c r="BK761" s="1" t="s">
        <v>4392</v>
      </c>
      <c r="BL761" s="1" t="s">
        <v>1877</v>
      </c>
      <c r="BM761" s="2" t="s">
        <v>4393</v>
      </c>
    </row>
    <row r="762" spans="1:71" ht="126" x14ac:dyDescent="0.45">
      <c r="A762" s="5">
        <v>761</v>
      </c>
      <c r="B762" s="8" t="s">
        <v>526</v>
      </c>
      <c r="C762" s="6" t="s">
        <v>6851</v>
      </c>
      <c r="D762" s="7" t="s">
        <v>9794</v>
      </c>
      <c r="E762" s="1" t="s">
        <v>526</v>
      </c>
      <c r="F762" s="1"/>
      <c r="G762" s="1"/>
      <c r="J762" s="1" t="s">
        <v>9795</v>
      </c>
      <c r="K762" s="2" t="s">
        <v>8821</v>
      </c>
      <c r="L762" s="2" t="s">
        <v>8822</v>
      </c>
      <c r="P762" s="7" t="s">
        <v>1241</v>
      </c>
      <c r="Q762" s="13"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762" s="13"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S762" s="13"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T762" s="13"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U762"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762"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W762" s="13"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AV762" s="1" t="s">
        <v>1502</v>
      </c>
      <c r="BG762" s="7" t="s">
        <v>1503</v>
      </c>
      <c r="BH762" s="1" t="s">
        <v>1976</v>
      </c>
      <c r="BI762" s="1" t="s">
        <v>4394</v>
      </c>
      <c r="BJ762" s="1" t="s">
        <v>4000</v>
      </c>
      <c r="BK762" s="1" t="s">
        <v>4395</v>
      </c>
      <c r="BL762" s="1" t="s">
        <v>2268</v>
      </c>
      <c r="BM762" s="1" t="s">
        <v>4396</v>
      </c>
      <c r="BN762" s="1" t="s">
        <v>1959</v>
      </c>
      <c r="BO762" s="1" t="s">
        <v>4397</v>
      </c>
      <c r="BP762" s="1" t="s">
        <v>1996</v>
      </c>
      <c r="BQ762" s="1" t="s">
        <v>4398</v>
      </c>
      <c r="BR762" s="1" t="s">
        <v>1875</v>
      </c>
      <c r="BS762" s="2" t="s">
        <v>4399</v>
      </c>
    </row>
    <row r="763" spans="1:71" ht="162" x14ac:dyDescent="0.45">
      <c r="A763" s="5">
        <v>762</v>
      </c>
      <c r="B763" s="8" t="s">
        <v>527</v>
      </c>
      <c r="C763" s="6" t="s">
        <v>6851</v>
      </c>
      <c r="D763" s="7" t="s">
        <v>9794</v>
      </c>
      <c r="E763" s="1" t="s">
        <v>1343</v>
      </c>
      <c r="F763" s="1" t="s">
        <v>4107</v>
      </c>
      <c r="G763" s="1"/>
      <c r="J763" s="1" t="s">
        <v>9795</v>
      </c>
      <c r="K763" s="2" t="s">
        <v>8823</v>
      </c>
      <c r="L763" s="3" t="s">
        <v>8828</v>
      </c>
      <c r="M763" s="1" t="s">
        <v>12226</v>
      </c>
      <c r="P763" s="7" t="s">
        <v>1241</v>
      </c>
      <c r="Q763"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763"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763"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763"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763"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763"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763"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763"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763"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763"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763"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763"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763"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D763"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763"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763" s="15"/>
      <c r="AV763" s="1" t="s">
        <v>1502</v>
      </c>
      <c r="BG763" s="7" t="s">
        <v>1503</v>
      </c>
      <c r="BH763" s="1" t="s">
        <v>1947</v>
      </c>
      <c r="BI763" s="2" t="s">
        <v>4400</v>
      </c>
      <c r="BJ763" s="1" t="s">
        <v>1877</v>
      </c>
      <c r="BK763" s="2" t="s">
        <v>4401</v>
      </c>
    </row>
    <row r="764" spans="1:71" ht="144" x14ac:dyDescent="0.45">
      <c r="A764" s="5">
        <v>763</v>
      </c>
      <c r="B764" s="8" t="s">
        <v>528</v>
      </c>
      <c r="C764" s="6" t="s">
        <v>6851</v>
      </c>
      <c r="D764" s="7" t="s">
        <v>9794</v>
      </c>
      <c r="E764" s="6" t="s">
        <v>528</v>
      </c>
      <c r="F764" s="1"/>
      <c r="G764" s="1"/>
      <c r="J764" s="1" t="s">
        <v>9795</v>
      </c>
      <c r="K764" s="2"/>
      <c r="L764" s="3" t="s">
        <v>8829</v>
      </c>
      <c r="P764" s="7" t="s">
        <v>1241</v>
      </c>
      <c r="AV764" s="1" t="s">
        <v>1502</v>
      </c>
      <c r="BG764" s="7" t="s">
        <v>1503</v>
      </c>
      <c r="BH764" s="1" t="s">
        <v>1947</v>
      </c>
      <c r="BI764" s="1" t="s">
        <v>4402</v>
      </c>
      <c r="BJ764" s="1" t="s">
        <v>2026</v>
      </c>
      <c r="BK764" s="1" t="s">
        <v>4403</v>
      </c>
      <c r="BL764" s="1" t="s">
        <v>1959</v>
      </c>
      <c r="BM764" s="2" t="s">
        <v>4404</v>
      </c>
      <c r="BN764" s="1" t="s">
        <v>1875</v>
      </c>
      <c r="BO764" s="2" t="s">
        <v>4405</v>
      </c>
      <c r="BP764" s="1" t="s">
        <v>1877</v>
      </c>
      <c r="BQ764" s="2" t="s">
        <v>9254</v>
      </c>
    </row>
    <row r="765" spans="1:71" ht="144" x14ac:dyDescent="0.45">
      <c r="A765" s="5">
        <v>764</v>
      </c>
      <c r="B765" s="8" t="s">
        <v>529</v>
      </c>
      <c r="C765" s="6" t="s">
        <v>6851</v>
      </c>
      <c r="D765" s="7" t="s">
        <v>9794</v>
      </c>
      <c r="E765" s="1" t="s">
        <v>1631</v>
      </c>
      <c r="F765" s="1" t="s">
        <v>4406</v>
      </c>
      <c r="G765" s="1"/>
      <c r="J765" s="1" t="s">
        <v>9795</v>
      </c>
      <c r="K765" s="2"/>
      <c r="L765" s="3" t="s">
        <v>8883</v>
      </c>
      <c r="M765" s="1" t="s">
        <v>12240</v>
      </c>
      <c r="P765" s="7" t="s">
        <v>1241</v>
      </c>
      <c r="Q765"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765"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765"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765"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765"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V765"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W765"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765"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765"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765"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765" s="15"/>
      <c r="AV765" s="1" t="s">
        <v>1502</v>
      </c>
      <c r="BG765" s="7" t="s">
        <v>1503</v>
      </c>
      <c r="BH765" s="1" t="s">
        <v>1947</v>
      </c>
      <c r="BI765" s="2" t="s">
        <v>4407</v>
      </c>
      <c r="BJ765" s="1" t="s">
        <v>1959</v>
      </c>
      <c r="BK765" s="2" t="s">
        <v>4408</v>
      </c>
      <c r="BL765" s="1" t="s">
        <v>1875</v>
      </c>
      <c r="BM765" s="2" t="s">
        <v>4409</v>
      </c>
    </row>
    <row r="766" spans="1:71" ht="180" x14ac:dyDescent="0.45">
      <c r="A766" s="5">
        <v>765</v>
      </c>
      <c r="B766" s="8" t="s">
        <v>530</v>
      </c>
      <c r="C766" s="6" t="s">
        <v>6851</v>
      </c>
      <c r="D766" s="7" t="s">
        <v>9794</v>
      </c>
      <c r="E766" s="6" t="s">
        <v>530</v>
      </c>
      <c r="F766" s="1"/>
      <c r="G766" s="1"/>
      <c r="J766" s="1" t="s">
        <v>9795</v>
      </c>
      <c r="K766" s="2"/>
      <c r="L766" s="2" t="s">
        <v>8824</v>
      </c>
      <c r="P766" s="7" t="s">
        <v>1241</v>
      </c>
      <c r="Q766" s="13"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R766" s="13"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AU766" s="15"/>
      <c r="AV766" s="1" t="s">
        <v>1502</v>
      </c>
      <c r="BG766" s="7" t="s">
        <v>1503</v>
      </c>
      <c r="BH766" s="1" t="s">
        <v>1947</v>
      </c>
      <c r="BI766" s="2" t="s">
        <v>4410</v>
      </c>
      <c r="BJ766" s="1" t="s">
        <v>1959</v>
      </c>
      <c r="BK766" s="2" t="s">
        <v>4411</v>
      </c>
      <c r="BL766" s="1" t="s">
        <v>1875</v>
      </c>
      <c r="BM766" s="2" t="s">
        <v>4412</v>
      </c>
      <c r="BN766" s="1" t="s">
        <v>1877</v>
      </c>
      <c r="BO766" s="2" t="s">
        <v>4413</v>
      </c>
      <c r="BP766" s="1" t="s">
        <v>3497</v>
      </c>
      <c r="BQ766" s="2" t="s">
        <v>4414</v>
      </c>
    </row>
    <row r="767" spans="1:71" ht="108" x14ac:dyDescent="0.45">
      <c r="A767" s="5">
        <v>766</v>
      </c>
      <c r="B767" s="8" t="s">
        <v>531</v>
      </c>
      <c r="C767" s="6" t="s">
        <v>6851</v>
      </c>
      <c r="D767" s="7" t="s">
        <v>9794</v>
      </c>
      <c r="E767" s="6" t="s">
        <v>1852</v>
      </c>
      <c r="F767" s="1" t="s">
        <v>1853</v>
      </c>
      <c r="G767" s="1"/>
      <c r="J767" s="1" t="s">
        <v>9795</v>
      </c>
      <c r="K767" s="2"/>
      <c r="L767" s="9" t="s">
        <v>8830</v>
      </c>
      <c r="P767" s="7" t="s">
        <v>1241</v>
      </c>
      <c r="AU767" s="15"/>
      <c r="AV767" s="1" t="s">
        <v>1502</v>
      </c>
      <c r="BG767" s="7" t="s">
        <v>1503</v>
      </c>
      <c r="BH767" s="1" t="s">
        <v>1947</v>
      </c>
      <c r="BI767" s="2" t="s">
        <v>4415</v>
      </c>
      <c r="BJ767" s="1" t="s">
        <v>1959</v>
      </c>
      <c r="BK767" s="2" t="s">
        <v>4416</v>
      </c>
      <c r="BL767" s="1" t="s">
        <v>1875</v>
      </c>
      <c r="BM767" s="2" t="s">
        <v>4417</v>
      </c>
      <c r="BN767" s="1" t="s">
        <v>1877</v>
      </c>
      <c r="BO767" s="2" t="s">
        <v>4418</v>
      </c>
    </row>
    <row r="768" spans="1:71" ht="396" x14ac:dyDescent="0.45">
      <c r="A768" s="5">
        <v>767</v>
      </c>
      <c r="B768" s="8" t="s">
        <v>532</v>
      </c>
      <c r="C768" s="6" t="s">
        <v>6851</v>
      </c>
      <c r="D768" s="7" t="s">
        <v>9794</v>
      </c>
      <c r="E768" s="1" t="s">
        <v>27</v>
      </c>
      <c r="F768" s="1" t="s">
        <v>4419</v>
      </c>
      <c r="G768" s="1" t="s">
        <v>1474</v>
      </c>
      <c r="J768" s="1" t="s">
        <v>9795</v>
      </c>
      <c r="K768" s="2" t="s">
        <v>8831</v>
      </c>
      <c r="L768" s="9" t="s">
        <v>8832</v>
      </c>
      <c r="M768" s="1" t="s">
        <v>12244</v>
      </c>
      <c r="P768" s="7" t="s">
        <v>1241</v>
      </c>
      <c r="Q768" s="14" t="str">
        <f>INDEX($L:$L, MATCH("equal", $B:$B, 0))</f>
        <v>&lt;span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v>
      </c>
      <c r="R768" s="14" t="str">
        <f>INDEX($L:$L, MATCH("adequate", $B:$B, 0))</f>
        <v>&lt;span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v>
      </c>
      <c r="AU768" s="15"/>
      <c r="AV768" s="1" t="s">
        <v>1502</v>
      </c>
      <c r="BG768" s="7" t="s">
        <v>1503</v>
      </c>
      <c r="BH768" s="1" t="s">
        <v>2780</v>
      </c>
      <c r="BI768" s="2" t="s">
        <v>4420</v>
      </c>
      <c r="BJ768" s="1" t="s">
        <v>1967</v>
      </c>
      <c r="BK768" s="2" t="s">
        <v>4421</v>
      </c>
      <c r="BL768" s="1" t="s">
        <v>1959</v>
      </c>
      <c r="BM768" s="2" t="s">
        <v>4422</v>
      </c>
      <c r="BN768" s="1" t="s">
        <v>1875</v>
      </c>
      <c r="BO768" s="2" t="s">
        <v>4423</v>
      </c>
      <c r="BP768" s="1" t="s">
        <v>1877</v>
      </c>
      <c r="BQ768" s="2" t="s">
        <v>4424</v>
      </c>
    </row>
    <row r="769" spans="1:71" ht="144" x14ac:dyDescent="0.45">
      <c r="A769" s="5">
        <v>768</v>
      </c>
      <c r="B769" s="8" t="s">
        <v>533</v>
      </c>
      <c r="C769" s="6" t="s">
        <v>6851</v>
      </c>
      <c r="D769" s="7" t="s">
        <v>9794</v>
      </c>
      <c r="E769" s="1" t="s">
        <v>1338</v>
      </c>
      <c r="F769" s="1" t="s">
        <v>4425</v>
      </c>
      <c r="G769" s="1"/>
      <c r="J769" s="1" t="s">
        <v>9795</v>
      </c>
      <c r="K769" s="2" t="s">
        <v>8833</v>
      </c>
      <c r="L769" s="2" t="s">
        <v>8834</v>
      </c>
      <c r="M769" s="1" t="s">
        <v>12229</v>
      </c>
      <c r="P769" s="7" t="s">
        <v>1241</v>
      </c>
      <c r="Q769" s="13"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769" s="13"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S769" s="13"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T769"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769" s="13"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V769"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W769" s="13" t="str">
        <f>INDEX($L:$L, MATCH("justice", $B:$B, 0))</f>
        <v>&lt;span class="w"&gt;&lt;b&gt;【769.justice：公正, 正義, 司法】&lt;/b&gt;&lt;/span&gt;
&lt;span class="ml"&gt;ラテン語ius（法）に由来する。
&lt;span class="spacer"&gt;&lt;/span&gt;この語の核は「法」。法を司る「司法」や、法や道徳に基づく「正義」や「公正」という意味になる。&lt;/span&gt;</v>
      </c>
      <c r="X769" s="13" t="str">
        <f>INDEX($L:$L, MATCH("jury", $B:$B, 0))</f>
        <v>&lt;span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v>
      </c>
      <c r="AU769" s="15"/>
      <c r="AV769" s="1" t="s">
        <v>1502</v>
      </c>
      <c r="BG769" s="7" t="s">
        <v>1503</v>
      </c>
      <c r="BH769" s="1" t="s">
        <v>2780</v>
      </c>
      <c r="BI769" s="2" t="s">
        <v>4426</v>
      </c>
      <c r="BJ769" s="1" t="s">
        <v>1967</v>
      </c>
      <c r="BK769" s="2" t="s">
        <v>4427</v>
      </c>
      <c r="BL769" s="1" t="s">
        <v>1959</v>
      </c>
      <c r="BM769" s="1" t="s">
        <v>4428</v>
      </c>
      <c r="BN769" s="1" t="s">
        <v>1875</v>
      </c>
      <c r="BO769" s="2" t="s">
        <v>4429</v>
      </c>
    </row>
    <row r="770" spans="1:71" ht="144" x14ac:dyDescent="0.45">
      <c r="A770" s="5">
        <v>769</v>
      </c>
      <c r="B770" s="8" t="s">
        <v>534</v>
      </c>
      <c r="C770" s="6" t="s">
        <v>6851</v>
      </c>
      <c r="D770" s="7" t="s">
        <v>9794</v>
      </c>
      <c r="E770" s="1" t="s">
        <v>9028</v>
      </c>
      <c r="F770" s="1" t="s">
        <v>9029</v>
      </c>
      <c r="G770" s="1" t="s">
        <v>8935</v>
      </c>
      <c r="J770" s="1" t="s">
        <v>9795</v>
      </c>
      <c r="K770" s="2" t="s">
        <v>8835</v>
      </c>
      <c r="L770" s="4" t="s">
        <v>8836</v>
      </c>
      <c r="P770" s="7" t="s">
        <v>1241</v>
      </c>
      <c r="Q770" s="14"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R770"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S770" s="13" t="str">
        <f>INDEX($L:$L, MATCH("jury", $B:$B, 0))</f>
        <v>&lt;span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v>
      </c>
      <c r="AU770" s="15"/>
      <c r="AV770" s="1" t="s">
        <v>1502</v>
      </c>
      <c r="BG770" s="7" t="s">
        <v>1503</v>
      </c>
      <c r="BH770" s="1" t="s">
        <v>1947</v>
      </c>
      <c r="BI770" s="2" t="s">
        <v>4430</v>
      </c>
      <c r="BJ770" s="1" t="s">
        <v>1959</v>
      </c>
      <c r="BK770" s="2" t="s">
        <v>4431</v>
      </c>
      <c r="BL770" s="1" t="s">
        <v>1875</v>
      </c>
      <c r="BM770" s="2" t="s">
        <v>4432</v>
      </c>
    </row>
    <row r="771" spans="1:71" ht="126" x14ac:dyDescent="0.45">
      <c r="A771" s="5">
        <v>770</v>
      </c>
      <c r="B771" s="8" t="s">
        <v>535</v>
      </c>
      <c r="C771" s="6" t="s">
        <v>6851</v>
      </c>
      <c r="D771" s="7" t="s">
        <v>9794</v>
      </c>
      <c r="E771" s="1" t="s">
        <v>1855</v>
      </c>
      <c r="F771" s="1" t="s">
        <v>1856</v>
      </c>
      <c r="G771" s="1"/>
      <c r="J771" s="1" t="s">
        <v>9795</v>
      </c>
      <c r="K771" s="2" t="s">
        <v>8837</v>
      </c>
      <c r="L771" s="9" t="s">
        <v>8838</v>
      </c>
      <c r="P771" s="7" t="s">
        <v>1241</v>
      </c>
      <c r="AU771" s="15"/>
      <c r="AV771" s="1" t="s">
        <v>1502</v>
      </c>
      <c r="BG771" s="7" t="s">
        <v>1503</v>
      </c>
      <c r="BH771" s="1" t="s">
        <v>1877</v>
      </c>
      <c r="BI771" s="2" t="s">
        <v>4433</v>
      </c>
      <c r="BJ771" s="1" t="s">
        <v>3497</v>
      </c>
      <c r="BK771" s="2" t="s">
        <v>4434</v>
      </c>
    </row>
    <row r="772" spans="1:71" ht="216" x14ac:dyDescent="0.45">
      <c r="A772" s="5">
        <v>771</v>
      </c>
      <c r="B772" s="8" t="s">
        <v>536</v>
      </c>
      <c r="C772" s="6" t="s">
        <v>6851</v>
      </c>
      <c r="D772" s="7" t="s">
        <v>9794</v>
      </c>
      <c r="E772" s="1" t="s">
        <v>4435</v>
      </c>
      <c r="F772" s="1" t="s">
        <v>1326</v>
      </c>
      <c r="G772" s="1"/>
      <c r="J772" s="1" t="s">
        <v>9795</v>
      </c>
      <c r="K772" s="2" t="s">
        <v>8839</v>
      </c>
      <c r="L772" s="2" t="s">
        <v>8840</v>
      </c>
      <c r="P772" s="7" t="s">
        <v>1241</v>
      </c>
      <c r="AU772" s="15"/>
      <c r="AV772" s="1" t="s">
        <v>1502</v>
      </c>
      <c r="BG772" s="7" t="s">
        <v>1503</v>
      </c>
      <c r="BH772" s="1" t="s">
        <v>1959</v>
      </c>
      <c r="BI772" s="2" t="s">
        <v>4436</v>
      </c>
      <c r="BJ772" s="1" t="s">
        <v>1877</v>
      </c>
      <c r="BK772" s="2" t="s">
        <v>4437</v>
      </c>
    </row>
    <row r="773" spans="1:71" ht="180" x14ac:dyDescent="0.45">
      <c r="A773" s="5">
        <v>772</v>
      </c>
      <c r="B773" s="8" t="s">
        <v>537</v>
      </c>
      <c r="C773" s="6" t="s">
        <v>6851</v>
      </c>
      <c r="D773" s="7" t="s">
        <v>9794</v>
      </c>
      <c r="E773" s="1" t="s">
        <v>1857</v>
      </c>
      <c r="F773" s="1" t="s">
        <v>1695</v>
      </c>
      <c r="G773" s="1"/>
      <c r="J773" s="1" t="s">
        <v>9795</v>
      </c>
      <c r="K773" s="2"/>
      <c r="L773" s="3" t="s">
        <v>8884</v>
      </c>
      <c r="P773" s="7" t="s">
        <v>1241</v>
      </c>
      <c r="Q773" s="13"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AU773" s="15"/>
      <c r="AV773" s="1" t="s">
        <v>1502</v>
      </c>
      <c r="BG773" s="7" t="s">
        <v>1503</v>
      </c>
      <c r="BH773" s="1" t="s">
        <v>1947</v>
      </c>
      <c r="BI773" s="2" t="s">
        <v>4438</v>
      </c>
      <c r="BJ773" s="1" t="s">
        <v>2036</v>
      </c>
      <c r="BK773" s="1" t="s">
        <v>4439</v>
      </c>
      <c r="BL773" s="1" t="s">
        <v>1877</v>
      </c>
      <c r="BM773" s="2" t="s">
        <v>4440</v>
      </c>
      <c r="BN773" s="1" t="s">
        <v>3497</v>
      </c>
      <c r="BO773" s="2" t="s">
        <v>4441</v>
      </c>
    </row>
    <row r="774" spans="1:71" ht="144" x14ac:dyDescent="0.45">
      <c r="A774" s="5">
        <v>773</v>
      </c>
      <c r="B774" s="8" t="s">
        <v>538</v>
      </c>
      <c r="C774" s="6" t="s">
        <v>6851</v>
      </c>
      <c r="D774" s="7" t="s">
        <v>9794</v>
      </c>
      <c r="E774" s="1" t="s">
        <v>538</v>
      </c>
      <c r="F774" s="1"/>
      <c r="G774" s="1"/>
      <c r="J774" s="1" t="s">
        <v>9795</v>
      </c>
      <c r="K774" s="2" t="s">
        <v>8841</v>
      </c>
      <c r="L774" s="3" t="s">
        <v>9081</v>
      </c>
      <c r="P774" s="7" t="s">
        <v>1241</v>
      </c>
      <c r="AU774" s="15"/>
      <c r="AV774" s="1" t="s">
        <v>1502</v>
      </c>
      <c r="BG774" s="7" t="s">
        <v>1503</v>
      </c>
      <c r="BH774" s="1" t="s">
        <v>1947</v>
      </c>
      <c r="BI774" s="2" t="s">
        <v>4442</v>
      </c>
      <c r="BJ774" s="1" t="s">
        <v>1959</v>
      </c>
      <c r="BK774" s="1" t="s">
        <v>4443</v>
      </c>
      <c r="BL774" s="1" t="s">
        <v>1875</v>
      </c>
      <c r="BM774" s="2" t="s">
        <v>4444</v>
      </c>
      <c r="BN774" s="1" t="s">
        <v>1877</v>
      </c>
      <c r="BO774" s="2" t="s">
        <v>4445</v>
      </c>
      <c r="BP774" s="1" t="s">
        <v>3497</v>
      </c>
      <c r="BQ774" s="2" t="s">
        <v>4446</v>
      </c>
    </row>
    <row r="775" spans="1:71" ht="108" x14ac:dyDescent="0.45">
      <c r="A775" s="5">
        <v>774</v>
      </c>
      <c r="B775" s="8" t="s">
        <v>539</v>
      </c>
      <c r="C775" s="6" t="s">
        <v>6851</v>
      </c>
      <c r="D775" s="7" t="s">
        <v>9794</v>
      </c>
      <c r="E775" s="1" t="s">
        <v>539</v>
      </c>
      <c r="F775" s="1"/>
      <c r="G775" s="1"/>
      <c r="J775" s="1" t="s">
        <v>9795</v>
      </c>
      <c r="K775" s="2" t="s">
        <v>8842</v>
      </c>
      <c r="L775" s="2" t="s">
        <v>8843</v>
      </c>
      <c r="P775" s="7" t="s">
        <v>1241</v>
      </c>
      <c r="AU775" s="15"/>
      <c r="AV775" s="1" t="s">
        <v>1502</v>
      </c>
      <c r="BG775" s="7" t="s">
        <v>1503</v>
      </c>
      <c r="BH775" s="1" t="s">
        <v>1976</v>
      </c>
      <c r="BI775" s="2" t="s">
        <v>4447</v>
      </c>
      <c r="BJ775" s="1" t="s">
        <v>1947</v>
      </c>
      <c r="BK775" s="2" t="s">
        <v>4402</v>
      </c>
      <c r="BL775" s="1" t="s">
        <v>2026</v>
      </c>
      <c r="BM775" s="1" t="s">
        <v>4403</v>
      </c>
      <c r="BN775" s="1" t="s">
        <v>1959</v>
      </c>
      <c r="BO775" s="1" t="s">
        <v>4448</v>
      </c>
      <c r="BP775" s="1" t="s">
        <v>1996</v>
      </c>
      <c r="BQ775" s="2" t="s">
        <v>4449</v>
      </c>
      <c r="BR775" s="1" t="s">
        <v>1877</v>
      </c>
      <c r="BS775" s="2" t="s">
        <v>4450</v>
      </c>
    </row>
    <row r="776" spans="1:71" ht="126" x14ac:dyDescent="0.45">
      <c r="A776" s="5">
        <v>775</v>
      </c>
      <c r="B776" s="8" t="s">
        <v>540</v>
      </c>
      <c r="C776" s="6" t="s">
        <v>6851</v>
      </c>
      <c r="D776" s="7" t="s">
        <v>9794</v>
      </c>
      <c r="E776" s="1" t="s">
        <v>540</v>
      </c>
      <c r="F776" s="1"/>
      <c r="G776" s="1"/>
      <c r="J776" s="1" t="s">
        <v>9795</v>
      </c>
      <c r="K776" s="2"/>
      <c r="L776" s="2" t="s">
        <v>8844</v>
      </c>
      <c r="M776" s="1" t="s">
        <v>12265</v>
      </c>
      <c r="P776" s="7" t="s">
        <v>1241</v>
      </c>
      <c r="Q776" s="13"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R776" s="13"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S776"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776" s="13"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U776" s="15"/>
      <c r="AV776" s="1" t="s">
        <v>1502</v>
      </c>
      <c r="BG776" s="7" t="s">
        <v>1503</v>
      </c>
      <c r="BH776" s="1" t="s">
        <v>1947</v>
      </c>
      <c r="BI776" s="2" t="s">
        <v>4451</v>
      </c>
      <c r="BJ776" s="1" t="s">
        <v>2036</v>
      </c>
      <c r="BK776" s="1" t="s">
        <v>4452</v>
      </c>
      <c r="BL776" s="1" t="s">
        <v>1967</v>
      </c>
      <c r="BM776" s="2" t="s">
        <v>4453</v>
      </c>
      <c r="BN776" s="1" t="s">
        <v>1959</v>
      </c>
      <c r="BO776" s="1" t="s">
        <v>4454</v>
      </c>
      <c r="BP776" s="1" t="s">
        <v>1875</v>
      </c>
      <c r="BQ776" s="2" t="s">
        <v>4455</v>
      </c>
      <c r="BR776" s="1" t="s">
        <v>1877</v>
      </c>
      <c r="BS776" s="2" t="s">
        <v>4456</v>
      </c>
    </row>
    <row r="777" spans="1:71" ht="162" x14ac:dyDescent="0.45">
      <c r="A777" s="5">
        <v>776</v>
      </c>
      <c r="B777" s="8" t="s">
        <v>541</v>
      </c>
      <c r="C777" s="6" t="s">
        <v>6851</v>
      </c>
      <c r="D777" s="7" t="s">
        <v>9794</v>
      </c>
      <c r="E777" s="1" t="s">
        <v>1858</v>
      </c>
      <c r="F777" s="1" t="s">
        <v>1748</v>
      </c>
      <c r="G777" s="1"/>
      <c r="J777" s="1" t="s">
        <v>9795</v>
      </c>
      <c r="K777" s="2" t="s">
        <v>8845</v>
      </c>
      <c r="L777" s="9" t="s">
        <v>9255</v>
      </c>
      <c r="M777" s="1" t="s">
        <v>12270</v>
      </c>
      <c r="P777" s="7" t="s">
        <v>1241</v>
      </c>
      <c r="Q777" s="13" t="str">
        <f>INDEX($L:$L, MATCH("abuse", $B:$B, 0))</f>
        <v>&lt;span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v>
      </c>
      <c r="R777" s="13" t="str">
        <f>INDEX($L:$L, MATCH("utility", $B:$B, 0))</f>
        <v>&lt;span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v>
      </c>
      <c r="S777" s="13" t="str">
        <f>INDEX($L:$L, MATCH("utilize", $B:$B, 0))</f>
        <v>&lt;span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v>
      </c>
      <c r="AU777" s="15"/>
      <c r="AV777" s="1" t="s">
        <v>1502</v>
      </c>
      <c r="BG777" s="7" t="s">
        <v>1503</v>
      </c>
      <c r="BH777" s="1" t="s">
        <v>1947</v>
      </c>
      <c r="BI777" s="2" t="s">
        <v>4457</v>
      </c>
      <c r="BJ777" s="1" t="s">
        <v>1959</v>
      </c>
      <c r="BK777" s="1" t="s">
        <v>4458</v>
      </c>
      <c r="BL777" s="1" t="s">
        <v>1875</v>
      </c>
      <c r="BM777" s="2" t="s">
        <v>4459</v>
      </c>
    </row>
    <row r="778" spans="1:71" ht="144" x14ac:dyDescent="0.45">
      <c r="A778" s="5">
        <v>777</v>
      </c>
      <c r="B778" s="8" t="s">
        <v>542</v>
      </c>
      <c r="C778" s="6" t="s">
        <v>6851</v>
      </c>
      <c r="D778" s="7" t="s">
        <v>9794</v>
      </c>
      <c r="E778" s="6" t="s">
        <v>542</v>
      </c>
      <c r="F778" s="1"/>
      <c r="G778" s="1"/>
      <c r="J778" s="1" t="s">
        <v>9795</v>
      </c>
      <c r="K778" s="2" t="s">
        <v>8846</v>
      </c>
      <c r="L778" s="9" t="s">
        <v>8847</v>
      </c>
      <c r="P778" s="7" t="s">
        <v>1241</v>
      </c>
      <c r="AU778" s="15"/>
      <c r="AV778" s="1" t="s">
        <v>1502</v>
      </c>
      <c r="BG778" s="7" t="s">
        <v>1503</v>
      </c>
      <c r="BH778" s="1" t="s">
        <v>1976</v>
      </c>
      <c r="BI778" s="1" t="s">
        <v>3999</v>
      </c>
      <c r="BJ778" s="1" t="s">
        <v>1947</v>
      </c>
      <c r="BK778" s="2" t="s">
        <v>4460</v>
      </c>
      <c r="BL778" s="1" t="s">
        <v>1959</v>
      </c>
      <c r="BM778" s="2" t="s">
        <v>4461</v>
      </c>
      <c r="BN778" s="1" t="s">
        <v>1875</v>
      </c>
      <c r="BO778" s="2" t="s">
        <v>4462</v>
      </c>
      <c r="BP778" s="1" t="s">
        <v>1877</v>
      </c>
      <c r="BQ778" s="2" t="s">
        <v>4463</v>
      </c>
    </row>
    <row r="779" spans="1:71" ht="126" x14ac:dyDescent="0.45">
      <c r="A779" s="5">
        <v>778</v>
      </c>
      <c r="B779" s="8" t="s">
        <v>543</v>
      </c>
      <c r="C779" s="6" t="s">
        <v>6851</v>
      </c>
      <c r="D779" s="7" t="s">
        <v>9794</v>
      </c>
      <c r="E779" s="1" t="s">
        <v>1859</v>
      </c>
      <c r="F779" s="1" t="s">
        <v>9030</v>
      </c>
      <c r="G779" s="1" t="s">
        <v>1580</v>
      </c>
      <c r="J779" s="1" t="s">
        <v>9795</v>
      </c>
      <c r="K779" s="2" t="s">
        <v>8848</v>
      </c>
      <c r="L779" s="4" t="s">
        <v>8849</v>
      </c>
      <c r="M779" s="1" t="s">
        <v>12178</v>
      </c>
      <c r="P779" s="7" t="s">
        <v>1241</v>
      </c>
      <c r="Q779" s="13"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R779" s="13"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S779" s="13"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T779" s="13"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U779" s="15"/>
      <c r="AV779" s="1" t="s">
        <v>1502</v>
      </c>
      <c r="BG779" s="7" t="s">
        <v>1503</v>
      </c>
      <c r="BH779" s="1" t="s">
        <v>1947</v>
      </c>
      <c r="BI779" s="2" t="s">
        <v>4464</v>
      </c>
      <c r="BJ779" s="1" t="s">
        <v>1959</v>
      </c>
      <c r="BK779" s="2" t="s">
        <v>4465</v>
      </c>
      <c r="BL779" s="1" t="s">
        <v>1996</v>
      </c>
      <c r="BM779" s="2" t="s">
        <v>4466</v>
      </c>
      <c r="BN779" s="1" t="s">
        <v>1877</v>
      </c>
      <c r="BO779" s="2" t="s">
        <v>4467</v>
      </c>
    </row>
    <row r="780" spans="1:71" ht="108" x14ac:dyDescent="0.45">
      <c r="A780" s="5">
        <v>779</v>
      </c>
      <c r="B780" s="8" t="s">
        <v>544</v>
      </c>
      <c r="C780" s="6" t="s">
        <v>6852</v>
      </c>
      <c r="D780" s="7" t="s">
        <v>9794</v>
      </c>
      <c r="E780" s="1" t="s">
        <v>1938</v>
      </c>
      <c r="F780" s="1" t="s">
        <v>1687</v>
      </c>
      <c r="G780" s="1" t="s">
        <v>1551</v>
      </c>
      <c r="J780" s="1" t="s">
        <v>9795</v>
      </c>
      <c r="K780" s="2" t="s">
        <v>4468</v>
      </c>
      <c r="L780" s="2" t="s">
        <v>8850</v>
      </c>
      <c r="P780" s="7" t="s">
        <v>1241</v>
      </c>
      <c r="AV780" s="1" t="s">
        <v>1502</v>
      </c>
      <c r="BG780" s="7" t="s">
        <v>1503</v>
      </c>
      <c r="BH780" s="1" t="s">
        <v>1947</v>
      </c>
      <c r="BI780" s="1" t="s">
        <v>4469</v>
      </c>
      <c r="BJ780" s="1" t="s">
        <v>1967</v>
      </c>
      <c r="BK780" s="2" t="s">
        <v>4470</v>
      </c>
      <c r="BL780" s="1" t="s">
        <v>1994</v>
      </c>
      <c r="BM780" s="1" t="s">
        <v>4471</v>
      </c>
      <c r="BN780" s="1" t="s">
        <v>1996</v>
      </c>
      <c r="BO780" s="2" t="s">
        <v>4472</v>
      </c>
      <c r="BP780" s="1" t="s">
        <v>1877</v>
      </c>
      <c r="BQ780" s="2" t="s">
        <v>4473</v>
      </c>
    </row>
    <row r="781" spans="1:71" ht="144" x14ac:dyDescent="0.45">
      <c r="A781" s="5">
        <v>780</v>
      </c>
      <c r="B781" s="8" t="s">
        <v>545</v>
      </c>
      <c r="C781" s="6" t="s">
        <v>6852</v>
      </c>
      <c r="D781" s="7" t="s">
        <v>9794</v>
      </c>
      <c r="E781" s="1" t="s">
        <v>4474</v>
      </c>
      <c r="F781" s="1" t="s">
        <v>1541</v>
      </c>
      <c r="G781" s="1"/>
      <c r="J781" s="1" t="s">
        <v>9795</v>
      </c>
      <c r="K781" s="2" t="s">
        <v>8851</v>
      </c>
      <c r="L781" s="2" t="s">
        <v>8852</v>
      </c>
      <c r="M781" s="1" t="s">
        <v>12267</v>
      </c>
      <c r="P781" s="7" t="s">
        <v>1241</v>
      </c>
      <c r="Q781" s="13" t="str">
        <f>INDEX($L:$L, MATCH("literacy", $B:$B, 0))</f>
        <v>&lt;span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v>
      </c>
      <c r="AU781" s="15"/>
      <c r="AV781" s="1" t="s">
        <v>1502</v>
      </c>
      <c r="BG781" s="7" t="s">
        <v>1503</v>
      </c>
      <c r="BH781" s="1" t="s">
        <v>1947</v>
      </c>
      <c r="BI781" s="2" t="s">
        <v>4475</v>
      </c>
      <c r="BJ781" s="1" t="s">
        <v>1996</v>
      </c>
      <c r="BK781" s="1" t="s">
        <v>4476</v>
      </c>
      <c r="BL781" s="1" t="s">
        <v>1877</v>
      </c>
      <c r="BM781" s="2" t="s">
        <v>4477</v>
      </c>
    </row>
    <row r="782" spans="1:71" ht="144" x14ac:dyDescent="0.45">
      <c r="A782" s="5">
        <v>781</v>
      </c>
      <c r="B782" s="8" t="s">
        <v>546</v>
      </c>
      <c r="C782" s="6" t="s">
        <v>6852</v>
      </c>
      <c r="D782" s="7" t="s">
        <v>9794</v>
      </c>
      <c r="E782" s="1" t="s">
        <v>1939</v>
      </c>
      <c r="F782" s="1" t="s">
        <v>1551</v>
      </c>
      <c r="G782" s="1"/>
      <c r="J782" s="1" t="s">
        <v>9795</v>
      </c>
      <c r="K782" s="2" t="s">
        <v>8853</v>
      </c>
      <c r="L782" s="2" t="s">
        <v>8854</v>
      </c>
      <c r="P782" s="7" t="s">
        <v>1241</v>
      </c>
      <c r="Q782" s="13" t="str">
        <f>INDEX($L:$L, MATCH("classify", $B:$B, 0))</f>
        <v>&lt;span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v>
      </c>
      <c r="AU782" s="15"/>
      <c r="AV782" s="1" t="s">
        <v>1502</v>
      </c>
      <c r="BG782" s="7" t="s">
        <v>1503</v>
      </c>
      <c r="BH782" s="1" t="s">
        <v>1947</v>
      </c>
      <c r="BI782" s="2" t="s">
        <v>8855</v>
      </c>
      <c r="BJ782" s="1" t="s">
        <v>1996</v>
      </c>
      <c r="BK782" s="2" t="s">
        <v>4478</v>
      </c>
      <c r="BL782" s="1" t="s">
        <v>1877</v>
      </c>
      <c r="BM782" s="2" t="s">
        <v>4479</v>
      </c>
    </row>
    <row r="783" spans="1:71" ht="270" x14ac:dyDescent="0.45">
      <c r="A783" s="5">
        <v>782</v>
      </c>
      <c r="B783" s="8" t="s">
        <v>547</v>
      </c>
      <c r="C783" s="6" t="s">
        <v>6852</v>
      </c>
      <c r="D783" s="7" t="s">
        <v>9794</v>
      </c>
      <c r="E783" s="1" t="s">
        <v>4480</v>
      </c>
      <c r="F783" s="1" t="s">
        <v>49</v>
      </c>
      <c r="G783" s="1"/>
      <c r="J783" s="1" t="s">
        <v>9795</v>
      </c>
      <c r="K783" s="2" t="s">
        <v>8856</v>
      </c>
      <c r="L783" s="2" t="s">
        <v>10002</v>
      </c>
      <c r="P783" s="7" t="s">
        <v>1241</v>
      </c>
      <c r="Q783" s="19" t="str">
        <f>INDEX($L:$L, MATCH("deliver", $B:$B, 0))</f>
        <v>&lt;span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v>
      </c>
      <c r="AU783" s="15"/>
      <c r="AV783" s="1" t="s">
        <v>1502</v>
      </c>
      <c r="BG783" s="7" t="s">
        <v>1503</v>
      </c>
      <c r="BH783" s="1" t="s">
        <v>1947</v>
      </c>
      <c r="BI783" s="2" t="s">
        <v>4481</v>
      </c>
      <c r="BJ783" s="1" t="s">
        <v>1959</v>
      </c>
      <c r="BK783" s="2" t="s">
        <v>4482</v>
      </c>
      <c r="BL783" s="1" t="s">
        <v>1875</v>
      </c>
      <c r="BM783" s="2" t="s">
        <v>4483</v>
      </c>
      <c r="BN783" s="1" t="s">
        <v>1877</v>
      </c>
      <c r="BO783" s="2" t="s">
        <v>4484</v>
      </c>
    </row>
    <row r="784" spans="1:71" ht="216" x14ac:dyDescent="0.45">
      <c r="A784" s="5">
        <v>783</v>
      </c>
      <c r="B784" s="8" t="s">
        <v>548</v>
      </c>
      <c r="C784" s="6" t="s">
        <v>6852</v>
      </c>
      <c r="D784" s="7" t="s">
        <v>9794</v>
      </c>
      <c r="E784" s="1" t="s">
        <v>46</v>
      </c>
      <c r="F784" s="1" t="s">
        <v>9031</v>
      </c>
      <c r="G784" s="1"/>
      <c r="J784" s="1" t="s">
        <v>9795</v>
      </c>
      <c r="K784" s="2"/>
      <c r="L784" s="3" t="s">
        <v>9082</v>
      </c>
      <c r="P784" s="7" t="s">
        <v>1241</v>
      </c>
      <c r="Q784" s="14"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784" s="14"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784" s="13"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T784" s="13"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U784" s="13"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AU784" s="15"/>
      <c r="AV784" s="1" t="s">
        <v>1502</v>
      </c>
      <c r="BG784" s="7" t="s">
        <v>1503</v>
      </c>
      <c r="BH784" s="1" t="s">
        <v>1947</v>
      </c>
      <c r="BI784" s="2" t="s">
        <v>4485</v>
      </c>
      <c r="BJ784" s="1" t="s">
        <v>1875</v>
      </c>
      <c r="BK784" s="2" t="s">
        <v>4486</v>
      </c>
      <c r="BL784" s="1" t="s">
        <v>1877</v>
      </c>
      <c r="BM784" s="2" t="s">
        <v>4487</v>
      </c>
    </row>
    <row r="785" spans="1:67" ht="108" x14ac:dyDescent="0.45">
      <c r="A785" s="5">
        <v>784</v>
      </c>
      <c r="B785" s="8" t="s">
        <v>549</v>
      </c>
      <c r="C785" s="6" t="s">
        <v>6852</v>
      </c>
      <c r="D785" s="7" t="s">
        <v>9794</v>
      </c>
      <c r="E785" s="1" t="s">
        <v>549</v>
      </c>
      <c r="F785" s="1"/>
      <c r="G785" s="1"/>
      <c r="J785" s="1" t="s">
        <v>9795</v>
      </c>
      <c r="K785" s="2"/>
      <c r="L785" s="2" t="s">
        <v>8857</v>
      </c>
      <c r="P785" s="7" t="s">
        <v>1241</v>
      </c>
      <c r="AU785" s="15"/>
      <c r="AV785" s="1" t="s">
        <v>1502</v>
      </c>
      <c r="BG785" s="7" t="s">
        <v>1503</v>
      </c>
      <c r="BH785" s="1" t="s">
        <v>1875</v>
      </c>
      <c r="BI785" s="2" t="s">
        <v>4488</v>
      </c>
      <c r="BJ785" s="1" t="s">
        <v>1877</v>
      </c>
      <c r="BK785" s="2" t="s">
        <v>4489</v>
      </c>
    </row>
    <row r="786" spans="1:67" ht="216" x14ac:dyDescent="0.45">
      <c r="A786" s="5">
        <v>785</v>
      </c>
      <c r="B786" s="8" t="s">
        <v>550</v>
      </c>
      <c r="C786" s="6" t="s">
        <v>6852</v>
      </c>
      <c r="D786" s="7" t="s">
        <v>9794</v>
      </c>
      <c r="E786" s="1" t="s">
        <v>1940</v>
      </c>
      <c r="F786" s="1" t="s">
        <v>49</v>
      </c>
      <c r="G786" s="1"/>
      <c r="J786" s="1" t="s">
        <v>9795</v>
      </c>
      <c r="K786" s="2" t="s">
        <v>8858</v>
      </c>
      <c r="L786" s="2" t="s">
        <v>8859</v>
      </c>
      <c r="P786" s="7" t="s">
        <v>1241</v>
      </c>
      <c r="Q786" s="13" t="str">
        <f>INDEX($L:$L, MATCH("confidence", $B:$B, 0))</f>
        <v>&lt;span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v>
      </c>
      <c r="R786" s="13" t="str">
        <f>INDEX($L:$L, MATCH("faith", $B:$B, 0))</f>
        <v>&lt;span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v>
      </c>
      <c r="AU786" s="15"/>
      <c r="AV786" s="1" t="s">
        <v>1502</v>
      </c>
      <c r="BG786" s="7" t="s">
        <v>1503</v>
      </c>
      <c r="BH786" s="1" t="s">
        <v>1947</v>
      </c>
      <c r="BI786" s="2" t="s">
        <v>4490</v>
      </c>
      <c r="BJ786" s="1" t="s">
        <v>2017</v>
      </c>
      <c r="BK786" s="1" t="s">
        <v>4491</v>
      </c>
      <c r="BL786" s="1" t="s">
        <v>1883</v>
      </c>
      <c r="BM786" s="2" t="s">
        <v>4492</v>
      </c>
    </row>
    <row r="787" spans="1:67" ht="126" x14ac:dyDescent="0.45">
      <c r="A787" s="5">
        <v>786</v>
      </c>
      <c r="B787" s="8" t="s">
        <v>551</v>
      </c>
      <c r="C787" s="6" t="s">
        <v>6852</v>
      </c>
      <c r="D787" s="7" t="s">
        <v>9794</v>
      </c>
      <c r="E787" s="1" t="s">
        <v>4495</v>
      </c>
      <c r="F787" s="1" t="s">
        <v>1528</v>
      </c>
      <c r="G787" s="1"/>
      <c r="J787" s="1" t="s">
        <v>9795</v>
      </c>
      <c r="K787" s="2"/>
      <c r="L787" s="2" t="s">
        <v>8860</v>
      </c>
      <c r="M787" s="1" t="s">
        <v>12265</v>
      </c>
      <c r="P787" s="7" t="s">
        <v>1241</v>
      </c>
      <c r="Q787" s="13"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R787" s="13"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S787"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787" s="13"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U787" s="15"/>
      <c r="AV787" s="1" t="s">
        <v>1502</v>
      </c>
      <c r="BG787" s="7" t="s">
        <v>1503</v>
      </c>
      <c r="BH787" s="1" t="s">
        <v>1947</v>
      </c>
      <c r="BI787" s="2" t="s">
        <v>4496</v>
      </c>
      <c r="BJ787" s="1" t="s">
        <v>1959</v>
      </c>
      <c r="BK787" s="2" t="s">
        <v>4497</v>
      </c>
      <c r="BL787" s="1" t="s">
        <v>1875</v>
      </c>
      <c r="BM787" s="2" t="s">
        <v>4498</v>
      </c>
      <c r="BN787" s="1" t="s">
        <v>1877</v>
      </c>
      <c r="BO787" s="2" t="s">
        <v>4499</v>
      </c>
    </row>
    <row r="788" spans="1:67" ht="144" x14ac:dyDescent="0.45">
      <c r="A788" s="5">
        <v>787</v>
      </c>
      <c r="B788" s="8" t="s">
        <v>552</v>
      </c>
      <c r="C788" s="6" t="s">
        <v>6852</v>
      </c>
      <c r="D788" s="7" t="s">
        <v>9794</v>
      </c>
      <c r="E788" s="1" t="s">
        <v>1941</v>
      </c>
      <c r="F788" s="1" t="s">
        <v>1942</v>
      </c>
      <c r="G788" s="1" t="s">
        <v>1542</v>
      </c>
      <c r="J788" s="1" t="s">
        <v>9795</v>
      </c>
      <c r="K788" s="2" t="s">
        <v>8861</v>
      </c>
      <c r="L788" s="2" t="s">
        <v>8862</v>
      </c>
      <c r="P788" s="7" t="s">
        <v>1241</v>
      </c>
      <c r="Q788" s="13" t="str">
        <f>INDEX($L:$L, MATCH("familiar", $B:$B, 0))</f>
        <v>&lt;span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v>
      </c>
      <c r="AU788" s="15"/>
      <c r="AV788" s="1" t="s">
        <v>1502</v>
      </c>
      <c r="BG788" s="7" t="s">
        <v>1503</v>
      </c>
      <c r="BH788" s="1" t="s">
        <v>1877</v>
      </c>
      <c r="BI788" s="2" t="s">
        <v>4500</v>
      </c>
    </row>
    <row r="789" spans="1:67" ht="162" x14ac:dyDescent="0.45">
      <c r="A789" s="5">
        <v>788</v>
      </c>
      <c r="B789" s="8" t="s">
        <v>553</v>
      </c>
      <c r="C789" s="6" t="s">
        <v>6852</v>
      </c>
      <c r="D789" s="7" t="s">
        <v>9794</v>
      </c>
      <c r="E789" s="1" t="s">
        <v>4501</v>
      </c>
      <c r="F789" s="1" t="s">
        <v>4502</v>
      </c>
      <c r="G789" s="1"/>
      <c r="J789" s="1" t="s">
        <v>9795</v>
      </c>
      <c r="K789" s="2"/>
      <c r="L789" s="3" t="s">
        <v>9083</v>
      </c>
      <c r="P789" s="7" t="s">
        <v>1241</v>
      </c>
      <c r="Q789" s="13"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R789" s="13"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AU789" s="15"/>
      <c r="AV789" s="1" t="s">
        <v>1502</v>
      </c>
      <c r="BG789" s="7" t="s">
        <v>1503</v>
      </c>
      <c r="BH789" s="1" t="s">
        <v>1947</v>
      </c>
      <c r="BI789" s="2" t="s">
        <v>8863</v>
      </c>
      <c r="BJ789" s="1" t="s">
        <v>1959</v>
      </c>
      <c r="BK789" s="2" t="s">
        <v>4503</v>
      </c>
      <c r="BL789" s="1" t="s">
        <v>1875</v>
      </c>
      <c r="BM789" s="2" t="s">
        <v>4504</v>
      </c>
    </row>
    <row r="790" spans="1:67" ht="162" x14ac:dyDescent="0.45">
      <c r="A790" s="5">
        <v>789</v>
      </c>
      <c r="B790" s="8" t="s">
        <v>554</v>
      </c>
      <c r="C790" s="6" t="s">
        <v>6852</v>
      </c>
      <c r="D790" s="7" t="s">
        <v>9794</v>
      </c>
      <c r="E790" s="1" t="s">
        <v>554</v>
      </c>
      <c r="F790" s="1"/>
      <c r="G790" s="1"/>
      <c r="J790" s="1" t="s">
        <v>9795</v>
      </c>
      <c r="K790" s="2" t="s">
        <v>8864</v>
      </c>
      <c r="L790" s="2" t="s">
        <v>8865</v>
      </c>
      <c r="P790" s="7" t="s">
        <v>1241</v>
      </c>
      <c r="AV790" s="1" t="s">
        <v>1502</v>
      </c>
      <c r="BG790" s="7" t="s">
        <v>1503</v>
      </c>
      <c r="BH790" s="1" t="s">
        <v>1947</v>
      </c>
      <c r="BI790" s="1" t="s">
        <v>4505</v>
      </c>
      <c r="BJ790" s="1" t="s">
        <v>1959</v>
      </c>
      <c r="BK790" s="2" t="s">
        <v>4506</v>
      </c>
      <c r="BL790" s="1" t="s">
        <v>1875</v>
      </c>
      <c r="BM790" s="2" t="s">
        <v>4507</v>
      </c>
    </row>
    <row r="791" spans="1:67" ht="108" x14ac:dyDescent="0.45">
      <c r="A791" s="5">
        <v>790</v>
      </c>
      <c r="B791" s="8" t="s">
        <v>555</v>
      </c>
      <c r="C791" s="6" t="s">
        <v>6852</v>
      </c>
      <c r="D791" s="7" t="s">
        <v>9794</v>
      </c>
      <c r="E791" s="1" t="s">
        <v>1943</v>
      </c>
      <c r="F791" s="1" t="s">
        <v>1758</v>
      </c>
      <c r="G791" s="1"/>
      <c r="J791" s="1" t="s">
        <v>9795</v>
      </c>
      <c r="K791" s="2" t="s">
        <v>4508</v>
      </c>
      <c r="L791" s="2" t="s">
        <v>8866</v>
      </c>
      <c r="P791" s="7" t="s">
        <v>1241</v>
      </c>
      <c r="AU791" s="15"/>
      <c r="AV791" s="1" t="s">
        <v>1502</v>
      </c>
      <c r="BG791" s="7" t="s">
        <v>1503</v>
      </c>
      <c r="BH791" s="1" t="s">
        <v>1947</v>
      </c>
      <c r="BI791" s="2" t="s">
        <v>4509</v>
      </c>
      <c r="BJ791" s="1" t="s">
        <v>1959</v>
      </c>
      <c r="BK791" s="1" t="s">
        <v>4510</v>
      </c>
      <c r="BL791" s="1" t="s">
        <v>1875</v>
      </c>
      <c r="BM791" s="2" t="s">
        <v>4511</v>
      </c>
    </row>
    <row r="792" spans="1:67" ht="162" x14ac:dyDescent="0.45">
      <c r="A792" s="5">
        <v>791</v>
      </c>
      <c r="B792" s="8" t="s">
        <v>556</v>
      </c>
      <c r="C792" s="6" t="s">
        <v>6852</v>
      </c>
      <c r="D792" s="7" t="s">
        <v>9794</v>
      </c>
      <c r="E792" s="1" t="s">
        <v>1329</v>
      </c>
      <c r="F792" s="1" t="s">
        <v>1944</v>
      </c>
      <c r="G792" s="1" t="s">
        <v>1698</v>
      </c>
      <c r="J792" s="1" t="s">
        <v>9795</v>
      </c>
      <c r="K792" s="2" t="s">
        <v>4607</v>
      </c>
      <c r="L792" s="2" t="s">
        <v>12163</v>
      </c>
      <c r="M792" s="1" t="s">
        <v>12271</v>
      </c>
      <c r="P792" s="7" t="s">
        <v>1241</v>
      </c>
      <c r="Q792" s="13" t="str">
        <f>INDEX($L:$L, MATCH("transparent", $B:$B, 0))</f>
        <v>&lt;span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v>
      </c>
      <c r="R792" s="13"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U792" s="15"/>
      <c r="AV792" s="1" t="s">
        <v>1502</v>
      </c>
      <c r="BG792" s="7" t="s">
        <v>1503</v>
      </c>
      <c r="BH792" s="1" t="s">
        <v>1947</v>
      </c>
      <c r="BI792" s="2" t="s">
        <v>4512</v>
      </c>
      <c r="BJ792" s="1" t="s">
        <v>1959</v>
      </c>
      <c r="BK792" s="1" t="s">
        <v>4513</v>
      </c>
      <c r="BL792" s="1" t="s">
        <v>1875</v>
      </c>
      <c r="BM792" s="2" t="s">
        <v>4514</v>
      </c>
      <c r="BN792" s="1" t="s">
        <v>1877</v>
      </c>
      <c r="BO792" s="2" t="s">
        <v>4515</v>
      </c>
    </row>
    <row r="793" spans="1:67" ht="162" x14ac:dyDescent="0.45">
      <c r="A793" s="5">
        <v>792</v>
      </c>
      <c r="B793" s="8" t="s">
        <v>557</v>
      </c>
      <c r="C793" s="6" t="s">
        <v>6852</v>
      </c>
      <c r="D793" s="7" t="s">
        <v>9794</v>
      </c>
      <c r="E793" s="1" t="s">
        <v>1251</v>
      </c>
      <c r="F793" s="1" t="s">
        <v>4516</v>
      </c>
      <c r="G793" s="1"/>
      <c r="J793" s="1" t="s">
        <v>9795</v>
      </c>
      <c r="K793" s="2"/>
      <c r="L793" s="2" t="s">
        <v>8867</v>
      </c>
      <c r="P793" s="7" t="s">
        <v>1241</v>
      </c>
      <c r="AU793" s="15"/>
      <c r="AV793" s="1" t="s">
        <v>1502</v>
      </c>
      <c r="BG793" s="7" t="s">
        <v>1503</v>
      </c>
      <c r="BH793" s="1" t="s">
        <v>1947</v>
      </c>
      <c r="BI793" s="2" t="s">
        <v>8868</v>
      </c>
      <c r="BJ793" s="1" t="s">
        <v>1877</v>
      </c>
      <c r="BK793" s="2" t="s">
        <v>4517</v>
      </c>
    </row>
    <row r="794" spans="1:67" ht="126" x14ac:dyDescent="0.45">
      <c r="A794" s="5">
        <v>793</v>
      </c>
      <c r="B794" s="8" t="s">
        <v>558</v>
      </c>
      <c r="C794" s="6" t="s">
        <v>6852</v>
      </c>
      <c r="D794" s="7" t="s">
        <v>9794</v>
      </c>
      <c r="E794" s="1" t="s">
        <v>1689</v>
      </c>
      <c r="F794" s="1" t="s">
        <v>1541</v>
      </c>
      <c r="G794" s="1"/>
      <c r="J794" s="1" t="s">
        <v>9795</v>
      </c>
      <c r="K794" s="2" t="s">
        <v>8869</v>
      </c>
      <c r="L794" s="2" t="s">
        <v>8870</v>
      </c>
      <c r="P794" s="7" t="s">
        <v>1241</v>
      </c>
      <c r="Q794" s="13" t="str">
        <f>INDEX($L:$L, MATCH("contemporary", $B:$B, 0))</f>
        <v>&lt;span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v>
      </c>
      <c r="AU794" s="15"/>
      <c r="AV794" s="1" t="s">
        <v>1502</v>
      </c>
      <c r="BG794" s="7" t="s">
        <v>1503</v>
      </c>
      <c r="BH794" s="1" t="s">
        <v>1947</v>
      </c>
      <c r="BI794" s="2" t="s">
        <v>4518</v>
      </c>
      <c r="BJ794" s="1" t="s">
        <v>1877</v>
      </c>
      <c r="BK794" s="2" t="s">
        <v>4519</v>
      </c>
    </row>
    <row r="795" spans="1:67" ht="90" x14ac:dyDescent="0.45">
      <c r="A795" s="5">
        <v>794</v>
      </c>
      <c r="B795" s="8" t="s">
        <v>559</v>
      </c>
      <c r="C795" s="6" t="s">
        <v>6852</v>
      </c>
      <c r="D795" s="7" t="s">
        <v>9794</v>
      </c>
      <c r="E795" s="1" t="s">
        <v>1945</v>
      </c>
      <c r="F795" s="1" t="s">
        <v>1946</v>
      </c>
      <c r="G795" s="1"/>
      <c r="J795" s="1" t="s">
        <v>9795</v>
      </c>
      <c r="K795" s="2" t="s">
        <v>8871</v>
      </c>
      <c r="L795" s="2" t="s">
        <v>8872</v>
      </c>
      <c r="P795" s="7" t="s">
        <v>1241</v>
      </c>
      <c r="AU795" s="15"/>
      <c r="AV795" s="1" t="s">
        <v>1502</v>
      </c>
      <c r="BG795" s="7" t="s">
        <v>1503</v>
      </c>
      <c r="BH795" s="1" t="s">
        <v>1872</v>
      </c>
      <c r="BI795" s="2" t="s">
        <v>4520</v>
      </c>
      <c r="BJ795" s="1" t="s">
        <v>1875</v>
      </c>
      <c r="BK795" s="2" t="s">
        <v>4521</v>
      </c>
      <c r="BL795" s="1" t="s">
        <v>1877</v>
      </c>
      <c r="BM795" s="2" t="s">
        <v>4522</v>
      </c>
    </row>
    <row r="796" spans="1:67" ht="108" x14ac:dyDescent="0.45">
      <c r="A796" s="5">
        <v>795</v>
      </c>
      <c r="B796" s="6" t="s">
        <v>560</v>
      </c>
      <c r="C796" s="6" t="s">
        <v>6852</v>
      </c>
      <c r="D796" s="7" t="s">
        <v>9794</v>
      </c>
      <c r="E796" s="1" t="s">
        <v>4523</v>
      </c>
      <c r="F796" s="1" t="s">
        <v>49</v>
      </c>
      <c r="G796" s="1"/>
      <c r="J796" s="1" t="s">
        <v>9795</v>
      </c>
      <c r="K796" s="2" t="s">
        <v>8873</v>
      </c>
      <c r="L796" s="2" t="s">
        <v>8874</v>
      </c>
      <c r="P796" s="7" t="s">
        <v>1241</v>
      </c>
      <c r="AU796" s="15"/>
      <c r="AV796" s="1" t="s">
        <v>1502</v>
      </c>
      <c r="BG796" s="7" t="s">
        <v>1503</v>
      </c>
      <c r="BH796" s="1" t="s">
        <v>1976</v>
      </c>
      <c r="BI796" s="2" t="s">
        <v>4524</v>
      </c>
      <c r="BJ796" s="1" t="s">
        <v>1947</v>
      </c>
      <c r="BK796" s="2" t="s">
        <v>4525</v>
      </c>
      <c r="BL796" s="1" t="s">
        <v>1959</v>
      </c>
      <c r="BM796" s="1" t="s">
        <v>4526</v>
      </c>
      <c r="BN796" s="1" t="s">
        <v>1875</v>
      </c>
      <c r="BO796" s="2" t="s">
        <v>4527</v>
      </c>
    </row>
    <row r="797" spans="1:67" ht="108" x14ac:dyDescent="0.45">
      <c r="A797" s="5">
        <v>796</v>
      </c>
      <c r="B797" s="6" t="s">
        <v>561</v>
      </c>
      <c r="C797" s="6" t="s">
        <v>6852</v>
      </c>
      <c r="D797" s="7" t="s">
        <v>9794</v>
      </c>
      <c r="E797" s="1" t="s">
        <v>561</v>
      </c>
      <c r="F797" s="1"/>
      <c r="G797" s="1"/>
      <c r="J797" s="1" t="s">
        <v>9795</v>
      </c>
      <c r="K797" s="2" t="s">
        <v>8875</v>
      </c>
      <c r="L797" s="2" t="s">
        <v>8876</v>
      </c>
      <c r="P797" s="7" t="s">
        <v>1241</v>
      </c>
      <c r="AV797" s="1" t="s">
        <v>1502</v>
      </c>
      <c r="BG797" s="7" t="s">
        <v>1503</v>
      </c>
      <c r="BH797" s="1" t="s">
        <v>1947</v>
      </c>
      <c r="BI797" s="1" t="s">
        <v>4528</v>
      </c>
      <c r="BJ797" s="1" t="s">
        <v>1959</v>
      </c>
      <c r="BK797" s="1" t="s">
        <v>4529</v>
      </c>
      <c r="BL797" s="1" t="s">
        <v>1875</v>
      </c>
      <c r="BM797" s="2" t="s">
        <v>4530</v>
      </c>
    </row>
    <row r="798" spans="1:67" ht="126" x14ac:dyDescent="0.45">
      <c r="A798" s="5">
        <v>797</v>
      </c>
      <c r="B798" s="8" t="s">
        <v>562</v>
      </c>
      <c r="C798" s="6" t="s">
        <v>6852</v>
      </c>
      <c r="D798" s="7" t="s">
        <v>9794</v>
      </c>
      <c r="E798" s="1" t="s">
        <v>27</v>
      </c>
      <c r="F798" s="1" t="s">
        <v>4531</v>
      </c>
      <c r="G798" s="1" t="s">
        <v>4532</v>
      </c>
      <c r="J798" s="1" t="s">
        <v>9795</v>
      </c>
      <c r="K798" s="2"/>
      <c r="L798" s="2" t="s">
        <v>8877</v>
      </c>
      <c r="P798" s="7" t="s">
        <v>1241</v>
      </c>
      <c r="Q798" s="13"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R798" s="13"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AV798" s="1" t="s">
        <v>1502</v>
      </c>
      <c r="BG798" s="7" t="s">
        <v>1503</v>
      </c>
      <c r="BH798" s="1" t="s">
        <v>1976</v>
      </c>
      <c r="BI798" s="1" t="s">
        <v>4533</v>
      </c>
      <c r="BJ798" s="1" t="s">
        <v>1947</v>
      </c>
      <c r="BK798" s="2" t="s">
        <v>4534</v>
      </c>
      <c r="BL798" s="1" t="s">
        <v>1875</v>
      </c>
      <c r="BM798" s="2" t="s">
        <v>4535</v>
      </c>
    </row>
    <row r="799" spans="1:67" ht="126" x14ac:dyDescent="0.45">
      <c r="A799" s="5">
        <v>798</v>
      </c>
      <c r="B799" s="6" t="s">
        <v>563</v>
      </c>
      <c r="C799" s="6" t="s">
        <v>6852</v>
      </c>
      <c r="D799" s="7" t="s">
        <v>9794</v>
      </c>
      <c r="E799" s="1" t="s">
        <v>563</v>
      </c>
      <c r="F799" s="1"/>
      <c r="G799" s="1"/>
      <c r="J799" s="1" t="s">
        <v>9795</v>
      </c>
      <c r="K799" s="2"/>
      <c r="L799" s="2" t="s">
        <v>8878</v>
      </c>
      <c r="P799" s="7" t="s">
        <v>1241</v>
      </c>
      <c r="Q799" s="13" t="str">
        <f>INDEX($L:$L, MATCH("acute", $B:$B, 0))</f>
        <v>&lt;span class="w"&gt;&lt;b&gt;【1486.acute：痛みや感情などが激しい, 知覚などが鋭い, 急性の】&lt;/b&gt;&lt;/span&gt;
&lt;span class="ml"&gt;ラテン語acuere（鋭くする）の過去分詞actus（鋭い, 尖った）に由来する。
&lt;span class="spacer"&gt;&lt;/span&gt;この語の核は「鋭い」。物理的に鋭い・尖っているということから比喩的に、病気が一気に進展する様子を表して「急性の」という意味になった。
&lt;span class="spacer"&gt;&lt;/span&gt;また、知覚や洞察などが「鋭い」、痛みや感情が尖っていて「激しい」という意味になった。
&lt;div class="sample_image acute"&gt;&lt;/div&gt;&lt;/span&gt;</v>
      </c>
      <c r="AV799" s="1" t="s">
        <v>1502</v>
      </c>
      <c r="BG799" s="7" t="s">
        <v>1503</v>
      </c>
      <c r="BH799" s="1" t="s">
        <v>1947</v>
      </c>
      <c r="BI799" s="1" t="s">
        <v>4536</v>
      </c>
      <c r="BJ799" s="1" t="s">
        <v>2026</v>
      </c>
      <c r="BK799" s="1" t="s">
        <v>4537</v>
      </c>
      <c r="BL799" s="1" t="s">
        <v>1959</v>
      </c>
      <c r="BM799" s="1" t="s">
        <v>4538</v>
      </c>
      <c r="BN799" s="1" t="s">
        <v>1875</v>
      </c>
      <c r="BO799" s="2" t="s">
        <v>4539</v>
      </c>
    </row>
    <row r="800" spans="1:67" ht="270" x14ac:dyDescent="0.45">
      <c r="A800" s="5">
        <v>799</v>
      </c>
      <c r="B800" s="8" t="s">
        <v>564</v>
      </c>
      <c r="C800" s="6" t="s">
        <v>6852</v>
      </c>
      <c r="D800" s="7" t="s">
        <v>9794</v>
      </c>
      <c r="E800" s="1" t="s">
        <v>1459</v>
      </c>
      <c r="F800" s="1" t="s">
        <v>4540</v>
      </c>
      <c r="G800" s="1"/>
      <c r="J800" s="1" t="s">
        <v>9795</v>
      </c>
      <c r="K800" s="2" t="s">
        <v>8879</v>
      </c>
      <c r="L800" s="2" t="s">
        <v>10403</v>
      </c>
      <c r="M800" s="1" t="s">
        <v>12244</v>
      </c>
      <c r="P800" s="7" t="s">
        <v>1241</v>
      </c>
      <c r="Q800" s="13" t="str">
        <f>INDEX($L:$L, MATCH("equal", $B:$B, 0))</f>
        <v>&lt;span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v>
      </c>
      <c r="R800" s="13" t="str">
        <f>INDEX($L:$L, MATCH("inequality", $B:$B, 0))</f>
        <v>&lt;span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v>
      </c>
      <c r="AU800" s="15"/>
      <c r="AV800" s="1" t="s">
        <v>1502</v>
      </c>
      <c r="BG800" s="7" t="s">
        <v>1503</v>
      </c>
      <c r="BH800" s="1" t="s">
        <v>1947</v>
      </c>
      <c r="BI800" s="2" t="s">
        <v>8880</v>
      </c>
      <c r="BJ800" s="1" t="s">
        <v>1877</v>
      </c>
      <c r="BK800" s="2" t="s">
        <v>4541</v>
      </c>
    </row>
    <row r="801" spans="1:71" ht="72" x14ac:dyDescent="0.45">
      <c r="A801" s="5">
        <v>800</v>
      </c>
      <c r="B801" s="8" t="s">
        <v>565</v>
      </c>
      <c r="C801" s="6" t="s">
        <v>6853</v>
      </c>
      <c r="D801" s="7" t="s">
        <v>9794</v>
      </c>
      <c r="E801" s="1" t="s">
        <v>565</v>
      </c>
      <c r="F801" s="1"/>
      <c r="G801" s="1"/>
      <c r="J801" s="1" t="s">
        <v>9795</v>
      </c>
      <c r="K801" s="2"/>
      <c r="L801" s="2" t="s">
        <v>8881</v>
      </c>
      <c r="M801" s="1" t="s">
        <v>12242</v>
      </c>
      <c r="P801" s="7" t="s">
        <v>1241</v>
      </c>
      <c r="Q801" s="13"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801" s="13"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S801" s="13"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T801" s="13"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AV801" s="1" t="s">
        <v>1502</v>
      </c>
      <c r="BG801" s="7" t="s">
        <v>1503</v>
      </c>
      <c r="BH801" s="1" t="s">
        <v>1976</v>
      </c>
      <c r="BI801" s="1" t="s">
        <v>4542</v>
      </c>
      <c r="BJ801" s="1" t="s">
        <v>1947</v>
      </c>
      <c r="BK801" s="1" t="s">
        <v>4543</v>
      </c>
      <c r="BL801" s="1" t="s">
        <v>1877</v>
      </c>
      <c r="BM801" s="2" t="s">
        <v>4544</v>
      </c>
    </row>
    <row r="802" spans="1:71" ht="180" x14ac:dyDescent="0.45">
      <c r="A802" s="5">
        <v>801</v>
      </c>
      <c r="B802" s="8" t="s">
        <v>566</v>
      </c>
      <c r="C802" s="6" t="s">
        <v>1816</v>
      </c>
      <c r="D802" s="7" t="s">
        <v>9794</v>
      </c>
      <c r="E802" s="1" t="s">
        <v>1392</v>
      </c>
      <c r="F802" s="1" t="s">
        <v>4545</v>
      </c>
      <c r="G802" s="1"/>
      <c r="J802" s="1" t="s">
        <v>9795</v>
      </c>
      <c r="K802" s="2"/>
      <c r="L802" s="3" t="s">
        <v>9084</v>
      </c>
      <c r="M802" s="1" t="s">
        <v>12252</v>
      </c>
      <c r="P802" s="7" t="s">
        <v>1241</v>
      </c>
      <c r="Q802" s="13"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R802" s="13"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S802" s="13"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T802" s="13"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AU802" s="15"/>
      <c r="AV802" s="1" t="s">
        <v>1502</v>
      </c>
      <c r="BG802" s="7" t="s">
        <v>1503</v>
      </c>
      <c r="BH802" s="1" t="s">
        <v>1947</v>
      </c>
      <c r="BI802" s="2" t="s">
        <v>4546</v>
      </c>
      <c r="BJ802" s="1" t="s">
        <v>1967</v>
      </c>
      <c r="BK802" s="2" t="s">
        <v>4547</v>
      </c>
      <c r="BL802" s="1" t="s">
        <v>2114</v>
      </c>
      <c r="BM802" s="1" t="s">
        <v>4548</v>
      </c>
      <c r="BN802" s="1" t="s">
        <v>1875</v>
      </c>
      <c r="BO802" s="2" t="s">
        <v>4549</v>
      </c>
      <c r="BP802" s="1" t="s">
        <v>1877</v>
      </c>
      <c r="BQ802" s="2" t="s">
        <v>4550</v>
      </c>
      <c r="BR802" s="1" t="s">
        <v>3497</v>
      </c>
      <c r="BS802" s="2" t="s">
        <v>4551</v>
      </c>
    </row>
    <row r="803" spans="1:71" ht="198" x14ac:dyDescent="0.45">
      <c r="A803" s="5">
        <v>802</v>
      </c>
      <c r="B803" s="6" t="s">
        <v>567</v>
      </c>
      <c r="C803" s="6" t="s">
        <v>1816</v>
      </c>
      <c r="D803" s="7" t="s">
        <v>9794</v>
      </c>
      <c r="E803" s="1" t="s">
        <v>1329</v>
      </c>
      <c r="F803" s="1" t="s">
        <v>104</v>
      </c>
      <c r="G803" s="1"/>
      <c r="J803" s="1" t="s">
        <v>9795</v>
      </c>
      <c r="K803" s="2" t="s">
        <v>9085</v>
      </c>
      <c r="L803" s="3" t="s">
        <v>9086</v>
      </c>
      <c r="P803" s="7" t="s">
        <v>1241</v>
      </c>
      <c r="Q803" s="13" t="str">
        <f>INDEX($L:$L, MATCH("prove", $B:$B, 0))</f>
        <v>&lt;span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v>
      </c>
      <c r="R803" s="13" t="str">
        <f>INDEX($L:$L, MATCH("probable", $B:$B, 0))</f>
        <v>&lt;span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v>
      </c>
      <c r="AU803" s="15"/>
      <c r="AV803" s="1" t="s">
        <v>1502</v>
      </c>
      <c r="BG803" s="7" t="s">
        <v>1503</v>
      </c>
      <c r="BH803" s="1" t="s">
        <v>1947</v>
      </c>
      <c r="BI803" s="2" t="s">
        <v>9087</v>
      </c>
      <c r="BJ803" s="1" t="s">
        <v>1959</v>
      </c>
      <c r="BK803" s="1" t="s">
        <v>4552</v>
      </c>
      <c r="BL803" s="1" t="s">
        <v>1875</v>
      </c>
      <c r="BM803" s="2" t="s">
        <v>4553</v>
      </c>
    </row>
    <row r="804" spans="1:71" ht="180" x14ac:dyDescent="0.45">
      <c r="A804" s="5">
        <v>803</v>
      </c>
      <c r="B804" s="8" t="s">
        <v>4554</v>
      </c>
      <c r="C804" s="6" t="s">
        <v>1816</v>
      </c>
      <c r="D804" s="7" t="s">
        <v>9794</v>
      </c>
      <c r="E804" s="1" t="s">
        <v>1251</v>
      </c>
      <c r="F804" s="1" t="s">
        <v>69</v>
      </c>
      <c r="G804" s="1"/>
      <c r="J804" s="1" t="s">
        <v>9795</v>
      </c>
      <c r="K804" s="2" t="s">
        <v>7148</v>
      </c>
      <c r="L804" s="3" t="s">
        <v>9088</v>
      </c>
      <c r="P804" s="7" t="s">
        <v>1241</v>
      </c>
      <c r="AU804" s="15"/>
      <c r="AV804" s="1" t="s">
        <v>1502</v>
      </c>
      <c r="BG804" s="7" t="s">
        <v>1503</v>
      </c>
      <c r="BH804" s="1" t="s">
        <v>2017</v>
      </c>
      <c r="BI804" s="2" t="s">
        <v>4555</v>
      </c>
      <c r="BJ804" s="1" t="s">
        <v>1883</v>
      </c>
      <c r="BK804" s="2" t="s">
        <v>4556</v>
      </c>
    </row>
    <row r="805" spans="1:71" ht="234" x14ac:dyDescent="0.45">
      <c r="A805" s="5">
        <v>804</v>
      </c>
      <c r="B805" s="8" t="s">
        <v>1320</v>
      </c>
      <c r="C805" s="6" t="s">
        <v>1816</v>
      </c>
      <c r="D805" s="7" t="s">
        <v>9794</v>
      </c>
      <c r="E805" s="1" t="s">
        <v>4640</v>
      </c>
      <c r="F805" s="1"/>
      <c r="G805" s="1"/>
      <c r="J805" s="1" t="s">
        <v>9795</v>
      </c>
      <c r="K805" s="2"/>
      <c r="L805" s="3" t="s">
        <v>9089</v>
      </c>
      <c r="M805" s="1" t="s">
        <v>12207</v>
      </c>
      <c r="P805" s="7" t="s">
        <v>1241</v>
      </c>
      <c r="Q805"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R805"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S805"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T805"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U805"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V805"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805"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805"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805"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805"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805"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805"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805"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805"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805"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805" s="15"/>
      <c r="AV805" s="1" t="s">
        <v>1502</v>
      </c>
      <c r="BG805" s="7" t="s">
        <v>1503</v>
      </c>
      <c r="BH805" s="1" t="s">
        <v>2034</v>
      </c>
      <c r="BI805" s="2" t="s">
        <v>4557</v>
      </c>
      <c r="BJ805" s="1" t="s">
        <v>2147</v>
      </c>
      <c r="BK805" s="1" t="s">
        <v>4558</v>
      </c>
      <c r="BL805" s="1" t="s">
        <v>1504</v>
      </c>
      <c r="BM805" s="2" t="s">
        <v>9090</v>
      </c>
      <c r="BN805" s="1" t="s">
        <v>2044</v>
      </c>
      <c r="BO805" s="2" t="s">
        <v>4559</v>
      </c>
      <c r="BP805" s="1" t="s">
        <v>1883</v>
      </c>
      <c r="BQ805" s="2" t="s">
        <v>4560</v>
      </c>
    </row>
    <row r="806" spans="1:71" ht="108" x14ac:dyDescent="0.45">
      <c r="A806" s="5">
        <v>805</v>
      </c>
      <c r="B806" s="6" t="s">
        <v>4561</v>
      </c>
      <c r="C806" s="6" t="s">
        <v>1816</v>
      </c>
      <c r="D806" s="7" t="s">
        <v>9794</v>
      </c>
      <c r="E806" s="1" t="s">
        <v>568</v>
      </c>
      <c r="F806" s="1"/>
      <c r="G806" s="1"/>
      <c r="J806" s="1" t="s">
        <v>9795</v>
      </c>
      <c r="K806" s="2"/>
      <c r="L806" s="2" t="s">
        <v>9091</v>
      </c>
      <c r="P806" s="7" t="s">
        <v>1241</v>
      </c>
      <c r="AU806" s="15"/>
      <c r="AV806" s="1" t="s">
        <v>1502</v>
      </c>
      <c r="BG806" s="7" t="s">
        <v>1503</v>
      </c>
      <c r="BH806" s="1" t="s">
        <v>2129</v>
      </c>
      <c r="BI806" s="2" t="s">
        <v>9092</v>
      </c>
      <c r="BJ806" s="1" t="s">
        <v>2044</v>
      </c>
      <c r="BK806" s="2" t="s">
        <v>4562</v>
      </c>
    </row>
    <row r="807" spans="1:71" ht="126" x14ac:dyDescent="0.45">
      <c r="A807" s="5">
        <v>806</v>
      </c>
      <c r="B807" s="8" t="s">
        <v>569</v>
      </c>
      <c r="C807" s="6" t="s">
        <v>1816</v>
      </c>
      <c r="D807" s="7" t="s">
        <v>9794</v>
      </c>
      <c r="E807" s="1" t="s">
        <v>1413</v>
      </c>
      <c r="F807" s="1" t="s">
        <v>4565</v>
      </c>
      <c r="G807" s="1"/>
      <c r="J807" s="1" t="s">
        <v>9795</v>
      </c>
      <c r="K807" s="2" t="s">
        <v>9093</v>
      </c>
      <c r="L807" s="2" t="s">
        <v>9094</v>
      </c>
      <c r="M807" s="1" t="s">
        <v>12224</v>
      </c>
      <c r="P807" s="7" t="s">
        <v>1241</v>
      </c>
      <c r="Q807" s="13"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R807" s="13"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S807" s="13"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T807" s="13"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AU807" s="15"/>
      <c r="AV807" s="1" t="s">
        <v>1502</v>
      </c>
      <c r="BG807" s="7" t="s">
        <v>1503</v>
      </c>
      <c r="BH807" s="1" t="s">
        <v>2034</v>
      </c>
      <c r="BI807" s="2" t="s">
        <v>4566</v>
      </c>
      <c r="BJ807" s="1" t="s">
        <v>1875</v>
      </c>
      <c r="BK807" s="2" t="s">
        <v>4567</v>
      </c>
    </row>
    <row r="808" spans="1:71" ht="162" x14ac:dyDescent="0.45">
      <c r="A808" s="5">
        <v>807</v>
      </c>
      <c r="B808" s="8" t="s">
        <v>570</v>
      </c>
      <c r="C808" s="6" t="s">
        <v>1816</v>
      </c>
      <c r="D808" s="7" t="s">
        <v>9794</v>
      </c>
      <c r="E808" s="1" t="s">
        <v>1505</v>
      </c>
      <c r="F808" s="1" t="s">
        <v>1412</v>
      </c>
      <c r="G808" s="1"/>
      <c r="J808" s="1" t="s">
        <v>9795</v>
      </c>
      <c r="K808" s="2"/>
      <c r="L808" s="3" t="s">
        <v>9095</v>
      </c>
      <c r="M808" s="1" t="s">
        <v>12233</v>
      </c>
      <c r="P808" s="7" t="s">
        <v>1241</v>
      </c>
      <c r="Q808" s="13" t="str">
        <f>INDEX($L:$L, MATCH("tribe", $B:$B, 0))</f>
        <v>&lt;span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v>
      </c>
      <c r="R808" s="13" t="str">
        <f>INDEX($L:$L, MATCH("attribute", $B:$B, 0))</f>
        <v>&lt;span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v>
      </c>
      <c r="S808" s="13" t="str">
        <f>INDEX($L:$L, MATCH("contribute", $B:$B, 0))</f>
        <v>&lt;span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v>
      </c>
      <c r="AU808" s="15"/>
      <c r="AV808" s="1" t="s">
        <v>1502</v>
      </c>
      <c r="BG808" s="7" t="s">
        <v>1503</v>
      </c>
      <c r="BH808" s="1" t="s">
        <v>2034</v>
      </c>
      <c r="BI808" s="2" t="s">
        <v>4568</v>
      </c>
      <c r="BJ808" s="1" t="s">
        <v>1875</v>
      </c>
      <c r="BK808" s="2" t="s">
        <v>4569</v>
      </c>
    </row>
    <row r="809" spans="1:71" ht="216" x14ac:dyDescent="0.45">
      <c r="A809" s="5">
        <v>808</v>
      </c>
      <c r="B809" s="8" t="s">
        <v>571</v>
      </c>
      <c r="C809" s="6" t="s">
        <v>1816</v>
      </c>
      <c r="D809" s="7" t="s">
        <v>9794</v>
      </c>
      <c r="E809" s="1" t="s">
        <v>1467</v>
      </c>
      <c r="F809" s="1" t="s">
        <v>1932</v>
      </c>
      <c r="G809" s="1" t="s">
        <v>1819</v>
      </c>
      <c r="J809" s="1" t="s">
        <v>9795</v>
      </c>
      <c r="K809" s="2" t="s">
        <v>9096</v>
      </c>
      <c r="L809" s="3" t="s">
        <v>9097</v>
      </c>
      <c r="P809" s="7" t="s">
        <v>1241</v>
      </c>
      <c r="Q809" s="13"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809" s="13"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809" s="13"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T809" s="13"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U809" s="13"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V809"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809" s="15"/>
      <c r="AV809" s="1" t="s">
        <v>1502</v>
      </c>
      <c r="BG809" s="7" t="s">
        <v>1503</v>
      </c>
      <c r="BH809" s="1" t="s">
        <v>2034</v>
      </c>
      <c r="BI809" s="2" t="s">
        <v>4570</v>
      </c>
      <c r="BJ809" s="1" t="s">
        <v>2026</v>
      </c>
      <c r="BK809" s="1" t="s">
        <v>4571</v>
      </c>
      <c r="BL809" s="1" t="s">
        <v>1959</v>
      </c>
      <c r="BM809" s="2" t="s">
        <v>4572</v>
      </c>
      <c r="BN809" s="1" t="s">
        <v>1875</v>
      </c>
      <c r="BO809" s="2" t="s">
        <v>4573</v>
      </c>
      <c r="BP809" s="1" t="s">
        <v>1877</v>
      </c>
      <c r="BQ809" s="2" t="s">
        <v>4574</v>
      </c>
    </row>
    <row r="810" spans="1:71" ht="126" x14ac:dyDescent="0.45">
      <c r="A810" s="5">
        <v>809</v>
      </c>
      <c r="B810" s="8" t="s">
        <v>572</v>
      </c>
      <c r="C810" s="6" t="s">
        <v>1816</v>
      </c>
      <c r="D810" s="7" t="s">
        <v>9794</v>
      </c>
      <c r="E810" s="1" t="s">
        <v>1665</v>
      </c>
      <c r="F810" s="1" t="s">
        <v>4575</v>
      </c>
      <c r="G810" s="1"/>
      <c r="J810" s="1" t="s">
        <v>9795</v>
      </c>
      <c r="K810" s="2"/>
      <c r="L810" s="3" t="s">
        <v>9098</v>
      </c>
      <c r="P810" s="7" t="s">
        <v>1241</v>
      </c>
      <c r="AU810" s="15"/>
      <c r="AV810" s="1" t="s">
        <v>1502</v>
      </c>
      <c r="BG810" s="7" t="s">
        <v>1503</v>
      </c>
      <c r="BH810" s="1" t="s">
        <v>2034</v>
      </c>
      <c r="BI810" s="2" t="s">
        <v>4576</v>
      </c>
      <c r="BJ810" s="1" t="s">
        <v>1959</v>
      </c>
      <c r="BK810" s="2" t="s">
        <v>4577</v>
      </c>
      <c r="BL810" s="1" t="s">
        <v>1875</v>
      </c>
      <c r="BM810" s="2" t="s">
        <v>4578</v>
      </c>
    </row>
    <row r="811" spans="1:71" ht="90" x14ac:dyDescent="0.45">
      <c r="A811" s="5">
        <v>810</v>
      </c>
      <c r="B811" s="6" t="s">
        <v>573</v>
      </c>
      <c r="C811" s="6" t="s">
        <v>1816</v>
      </c>
      <c r="D811" s="7" t="s">
        <v>9794</v>
      </c>
      <c r="E811" s="1" t="s">
        <v>573</v>
      </c>
      <c r="F811" s="1"/>
      <c r="G811" s="1"/>
      <c r="J811" s="1" t="s">
        <v>9795</v>
      </c>
      <c r="K811" s="2" t="s">
        <v>4579</v>
      </c>
      <c r="L811" s="2" t="s">
        <v>9099</v>
      </c>
      <c r="P811" s="7" t="s">
        <v>1241</v>
      </c>
      <c r="AU811" s="15"/>
      <c r="AV811" s="1" t="s">
        <v>1502</v>
      </c>
      <c r="BG811" s="7" t="s">
        <v>1503</v>
      </c>
      <c r="BH811" s="1" t="s">
        <v>1875</v>
      </c>
      <c r="BI811" s="2" t="s">
        <v>4580</v>
      </c>
      <c r="BJ811" s="1" t="s">
        <v>1877</v>
      </c>
      <c r="BK811" s="2" t="s">
        <v>4581</v>
      </c>
    </row>
    <row r="812" spans="1:71" ht="90" x14ac:dyDescent="0.45">
      <c r="A812" s="5">
        <v>811</v>
      </c>
      <c r="B812" s="6" t="s">
        <v>574</v>
      </c>
      <c r="C812" s="6" t="s">
        <v>1816</v>
      </c>
      <c r="D812" s="7" t="s">
        <v>9794</v>
      </c>
      <c r="E812" s="1" t="s">
        <v>574</v>
      </c>
      <c r="F812" s="1"/>
      <c r="G812" s="1"/>
      <c r="J812" s="1" t="s">
        <v>9795</v>
      </c>
      <c r="K812" s="2"/>
      <c r="L812" s="3" t="s">
        <v>9100</v>
      </c>
      <c r="P812" s="7" t="s">
        <v>1241</v>
      </c>
      <c r="AU812" s="15"/>
      <c r="AV812" s="1" t="s">
        <v>1502</v>
      </c>
      <c r="BG812" s="7" t="s">
        <v>1503</v>
      </c>
      <c r="BH812" s="1" t="s">
        <v>2034</v>
      </c>
      <c r="BI812" s="2" t="s">
        <v>4582</v>
      </c>
      <c r="BJ812" s="1" t="s">
        <v>1959</v>
      </c>
      <c r="BK812" s="1" t="s">
        <v>4583</v>
      </c>
      <c r="BL812" s="1" t="s">
        <v>1875</v>
      </c>
      <c r="BM812" s="2" t="s">
        <v>4584</v>
      </c>
    </row>
    <row r="813" spans="1:71" ht="72" x14ac:dyDescent="0.45">
      <c r="A813" s="5">
        <v>812</v>
      </c>
      <c r="B813" s="6" t="s">
        <v>575</v>
      </c>
      <c r="C813" s="6" t="s">
        <v>1816</v>
      </c>
      <c r="D813" s="7" t="s">
        <v>9794</v>
      </c>
      <c r="E813" s="1" t="s">
        <v>575</v>
      </c>
      <c r="F813" s="1"/>
      <c r="G813" s="1"/>
      <c r="J813" s="1" t="s">
        <v>9795</v>
      </c>
      <c r="K813" s="1" t="s">
        <v>4585</v>
      </c>
      <c r="L813" s="2" t="s">
        <v>9101</v>
      </c>
      <c r="P813" s="7" t="s">
        <v>1241</v>
      </c>
      <c r="AU813" s="15"/>
      <c r="AV813" s="1" t="s">
        <v>1502</v>
      </c>
      <c r="BG813" s="7" t="s">
        <v>1503</v>
      </c>
      <c r="BH813" s="1" t="s">
        <v>1872</v>
      </c>
      <c r="BI813" s="2" t="s">
        <v>4586</v>
      </c>
    </row>
    <row r="814" spans="1:71" ht="198" x14ac:dyDescent="0.45">
      <c r="A814" s="5">
        <v>813</v>
      </c>
      <c r="B814" s="8" t="s">
        <v>576</v>
      </c>
      <c r="C814" s="6" t="s">
        <v>1816</v>
      </c>
      <c r="D814" s="7" t="s">
        <v>9794</v>
      </c>
      <c r="E814" s="1" t="s">
        <v>4587</v>
      </c>
      <c r="F814" s="1" t="s">
        <v>766</v>
      </c>
      <c r="G814" s="1" t="s">
        <v>1519</v>
      </c>
      <c r="J814" s="1" t="s">
        <v>9795</v>
      </c>
      <c r="K814" s="2" t="s">
        <v>9102</v>
      </c>
      <c r="L814" s="2" t="s">
        <v>9103</v>
      </c>
      <c r="M814" s="1" t="s">
        <v>12266</v>
      </c>
      <c r="P814" s="7" t="s">
        <v>1241</v>
      </c>
      <c r="Q814" s="14"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R814" s="13"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U814" s="15"/>
      <c r="AV814" s="1" t="s">
        <v>1502</v>
      </c>
      <c r="BG814" s="7" t="s">
        <v>1503</v>
      </c>
      <c r="BH814" s="1" t="s">
        <v>2458</v>
      </c>
      <c r="BI814" s="2" t="s">
        <v>4588</v>
      </c>
      <c r="BJ814" s="1" t="s">
        <v>2036</v>
      </c>
      <c r="BK814" s="1" t="s">
        <v>4589</v>
      </c>
      <c r="BL814" s="1" t="s">
        <v>1875</v>
      </c>
      <c r="BM814" s="2" t="s">
        <v>4590</v>
      </c>
      <c r="BN814" s="1" t="s">
        <v>1877</v>
      </c>
      <c r="BO814" s="2" t="s">
        <v>4591</v>
      </c>
    </row>
    <row r="815" spans="1:71" ht="108" x14ac:dyDescent="0.45">
      <c r="A815" s="5">
        <v>814</v>
      </c>
      <c r="B815" s="6" t="s">
        <v>577</v>
      </c>
      <c r="C815" s="6" t="s">
        <v>1816</v>
      </c>
      <c r="D815" s="7" t="s">
        <v>9794</v>
      </c>
      <c r="E815" s="1" t="s">
        <v>577</v>
      </c>
      <c r="F815" s="1"/>
      <c r="G815" s="1"/>
      <c r="J815" s="1" t="s">
        <v>9795</v>
      </c>
      <c r="K815" s="2"/>
      <c r="L815" s="2" t="s">
        <v>9104</v>
      </c>
      <c r="P815" s="7" t="s">
        <v>1241</v>
      </c>
      <c r="AU815" s="15"/>
      <c r="AV815" s="1" t="s">
        <v>1502</v>
      </c>
      <c r="BG815" s="7" t="s">
        <v>1503</v>
      </c>
      <c r="BH815" s="1" t="s">
        <v>1947</v>
      </c>
      <c r="BI815" s="2" t="s">
        <v>4592</v>
      </c>
      <c r="BJ815" s="1" t="s">
        <v>1875</v>
      </c>
      <c r="BK815" s="2" t="s">
        <v>4593</v>
      </c>
    </row>
    <row r="816" spans="1:71" ht="180" x14ac:dyDescent="0.45">
      <c r="A816" s="5">
        <v>815</v>
      </c>
      <c r="B816" s="6" t="s">
        <v>578</v>
      </c>
      <c r="C816" s="6" t="s">
        <v>1816</v>
      </c>
      <c r="D816" s="7" t="s">
        <v>9794</v>
      </c>
      <c r="E816" s="1" t="s">
        <v>1251</v>
      </c>
      <c r="F816" s="1" t="s">
        <v>4594</v>
      </c>
      <c r="G816" s="1"/>
      <c r="J816" s="1" t="s">
        <v>9795</v>
      </c>
      <c r="K816" s="2" t="s">
        <v>9105</v>
      </c>
      <c r="L816" s="3" t="s">
        <v>9106</v>
      </c>
      <c r="P816" s="7" t="s">
        <v>1241</v>
      </c>
      <c r="Q816" s="13" t="str">
        <f>INDEX($L:$L, MATCH("relevant", $B:$B, 0))</f>
        <v>&lt;span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class="spacer"&gt;&lt;/span&gt;議論において助けとなる情報は、その事柄に直接関係している情報なので、現代英語の「関係のある,（当面の問題に対して）適切な」という意味になった。&lt;/span&gt;</v>
      </c>
      <c r="R816" s="13" t="str">
        <f>INDEX($L:$L, MATCH("irrelevant", $B:$B, 0))</f>
        <v>&lt;span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v>
      </c>
      <c r="AU816" s="15"/>
      <c r="AV816" s="1" t="s">
        <v>1502</v>
      </c>
      <c r="BG816" s="7" t="s">
        <v>1503</v>
      </c>
      <c r="BH816" s="1" t="s">
        <v>1947</v>
      </c>
      <c r="BI816" s="2" t="s">
        <v>4595</v>
      </c>
      <c r="BJ816" s="1" t="s">
        <v>1959</v>
      </c>
      <c r="BK816" s="2" t="s">
        <v>4596</v>
      </c>
      <c r="BL816" s="1" t="s">
        <v>1875</v>
      </c>
      <c r="BM816" s="2" t="s">
        <v>4597</v>
      </c>
    </row>
    <row r="817" spans="1:69" ht="126" x14ac:dyDescent="0.45">
      <c r="A817" s="5">
        <v>816</v>
      </c>
      <c r="B817" s="6" t="s">
        <v>579</v>
      </c>
      <c r="C817" s="6" t="s">
        <v>1816</v>
      </c>
      <c r="D817" s="7" t="s">
        <v>9794</v>
      </c>
      <c r="E817" s="1" t="s">
        <v>1327</v>
      </c>
      <c r="F817" s="1" t="s">
        <v>4598</v>
      </c>
      <c r="G817" s="1"/>
      <c r="J817" s="1" t="s">
        <v>9795</v>
      </c>
      <c r="K817" s="2"/>
      <c r="L817" s="2" t="s">
        <v>9107</v>
      </c>
      <c r="P817" s="7" t="s">
        <v>1241</v>
      </c>
      <c r="AU817" s="15"/>
      <c r="AV817" s="1" t="s">
        <v>1502</v>
      </c>
      <c r="BG817" s="7" t="s">
        <v>1503</v>
      </c>
      <c r="BH817" s="1" t="s">
        <v>1947</v>
      </c>
      <c r="BI817" s="2" t="s">
        <v>4599</v>
      </c>
      <c r="BJ817" s="1" t="s">
        <v>2036</v>
      </c>
      <c r="BK817" s="1" t="s">
        <v>4600</v>
      </c>
      <c r="BL817" s="1" t="s">
        <v>1959</v>
      </c>
      <c r="BM817" s="1" t="s">
        <v>4601</v>
      </c>
      <c r="BN817" s="1" t="s">
        <v>1875</v>
      </c>
      <c r="BO817" s="2" t="s">
        <v>4602</v>
      </c>
      <c r="BP817" s="1" t="s">
        <v>1877</v>
      </c>
      <c r="BQ817" s="2" t="s">
        <v>4603</v>
      </c>
    </row>
    <row r="818" spans="1:69" ht="144" x14ac:dyDescent="0.45">
      <c r="A818" s="5">
        <v>817</v>
      </c>
      <c r="B818" s="6" t="s">
        <v>580</v>
      </c>
      <c r="C818" s="6" t="s">
        <v>1816</v>
      </c>
      <c r="D818" s="7" t="s">
        <v>9794</v>
      </c>
      <c r="E818" s="1" t="s">
        <v>1327</v>
      </c>
      <c r="F818" s="1" t="s">
        <v>1398</v>
      </c>
      <c r="G818" s="1"/>
      <c r="J818" s="1" t="s">
        <v>9795</v>
      </c>
      <c r="K818" s="2" t="s">
        <v>9108</v>
      </c>
      <c r="L818" s="3" t="s">
        <v>9109</v>
      </c>
      <c r="P818" s="7" t="s">
        <v>1241</v>
      </c>
      <c r="Q818" s="19" t="str">
        <f>INDEX($L:$L, MATCH("sort", $B:$B, 0))</f>
        <v>&lt;span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v>
      </c>
      <c r="R818" s="19"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S818" s="19"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T818" s="19"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U818" s="19"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V818" s="19"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AU818" s="15"/>
      <c r="AV818" s="1" t="s">
        <v>1502</v>
      </c>
      <c r="BG818" s="7" t="s">
        <v>1503</v>
      </c>
      <c r="BH818" s="1" t="s">
        <v>1947</v>
      </c>
      <c r="BI818" s="2" t="s">
        <v>9110</v>
      </c>
      <c r="BJ818" s="1" t="s">
        <v>2036</v>
      </c>
      <c r="BK818" s="1" t="s">
        <v>4604</v>
      </c>
      <c r="BL818" s="1" t="s">
        <v>1959</v>
      </c>
      <c r="BM818" s="1" t="s">
        <v>4605</v>
      </c>
      <c r="BN818" s="1" t="s">
        <v>1875</v>
      </c>
      <c r="BO818" s="2" t="s">
        <v>4606</v>
      </c>
    </row>
    <row r="819" spans="1:69" ht="72" x14ac:dyDescent="0.45">
      <c r="A819" s="5">
        <v>818</v>
      </c>
      <c r="B819" s="6" t="s">
        <v>581</v>
      </c>
      <c r="C819" s="6" t="s">
        <v>1816</v>
      </c>
      <c r="D819" s="7" t="s">
        <v>9794</v>
      </c>
      <c r="E819" s="1" t="s">
        <v>581</v>
      </c>
      <c r="F819" s="1"/>
      <c r="G819" s="1"/>
      <c r="J819" s="1" t="s">
        <v>9795</v>
      </c>
      <c r="K819" s="2" t="s">
        <v>4607</v>
      </c>
      <c r="L819" s="2" t="s">
        <v>9111</v>
      </c>
      <c r="M819" s="1" t="s">
        <v>12271</v>
      </c>
      <c r="P819" s="7" t="s">
        <v>1241</v>
      </c>
      <c r="Q819" s="13"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class="spacer"&gt;&lt;/span&gt;また感覚や認識で見えたものが、本当に見えた通りであるとは限らない。ここから「一見〜らしい」という意味になる。&lt;/span&gt;</v>
      </c>
      <c r="R819" s="13" t="str">
        <f>INDEX($L:$L, MATCH("transparent", $B:$B, 0))</f>
        <v>&lt;span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v>
      </c>
      <c r="AU819" s="15"/>
      <c r="AV819" s="1" t="s">
        <v>1502</v>
      </c>
      <c r="BG819" s="7" t="s">
        <v>1503</v>
      </c>
      <c r="BH819" s="1" t="s">
        <v>1875</v>
      </c>
      <c r="BI819" s="2" t="s">
        <v>4608</v>
      </c>
      <c r="BJ819" s="1" t="s">
        <v>1877</v>
      </c>
      <c r="BK819" s="2" t="s">
        <v>4609</v>
      </c>
    </row>
    <row r="820" spans="1:69" ht="144" x14ac:dyDescent="0.45">
      <c r="A820" s="5">
        <v>819</v>
      </c>
      <c r="B820" s="6" t="s">
        <v>582</v>
      </c>
      <c r="C820" s="6" t="s">
        <v>1816</v>
      </c>
      <c r="D820" s="7" t="s">
        <v>9794</v>
      </c>
      <c r="E820" s="1" t="s">
        <v>1327</v>
      </c>
      <c r="F820" s="1" t="s">
        <v>4610</v>
      </c>
      <c r="G820" s="1"/>
      <c r="J820" s="1" t="s">
        <v>9795</v>
      </c>
      <c r="K820" s="2"/>
      <c r="L820" s="3" t="s">
        <v>9112</v>
      </c>
      <c r="P820" s="7" t="s">
        <v>1241</v>
      </c>
      <c r="AV820" s="1" t="s">
        <v>1502</v>
      </c>
      <c r="BG820" s="7" t="s">
        <v>1503</v>
      </c>
      <c r="BH820" s="1" t="s">
        <v>1947</v>
      </c>
      <c r="BI820" s="1" t="s">
        <v>4611</v>
      </c>
      <c r="BJ820" s="1" t="s">
        <v>2026</v>
      </c>
      <c r="BK820" s="1" t="s">
        <v>4612</v>
      </c>
      <c r="BL820" s="1" t="s">
        <v>1959</v>
      </c>
      <c r="BM820" s="2" t="s">
        <v>4613</v>
      </c>
      <c r="BN820" s="1" t="s">
        <v>1875</v>
      </c>
      <c r="BO820" s="2" t="s">
        <v>4614</v>
      </c>
      <c r="BP820" s="1" t="s">
        <v>1877</v>
      </c>
      <c r="BQ820" s="2" t="s">
        <v>4615</v>
      </c>
    </row>
    <row r="821" spans="1:69" ht="162" x14ac:dyDescent="0.45">
      <c r="A821" s="5">
        <v>820</v>
      </c>
      <c r="B821" s="8" t="s">
        <v>4616</v>
      </c>
      <c r="C821" s="6" t="s">
        <v>1816</v>
      </c>
      <c r="D821" s="7" t="s">
        <v>9794</v>
      </c>
      <c r="E821" s="1" t="s">
        <v>46</v>
      </c>
      <c r="F821" s="1" t="s">
        <v>4617</v>
      </c>
      <c r="G821" s="1"/>
      <c r="J821" s="1" t="s">
        <v>9795</v>
      </c>
      <c r="K821" s="2"/>
      <c r="L821" s="3" t="s">
        <v>9113</v>
      </c>
      <c r="M821" s="1" t="s">
        <v>12240</v>
      </c>
      <c r="P821" s="7" t="s">
        <v>1241</v>
      </c>
      <c r="Q821"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821"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821"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821"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821"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821"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W821"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X821"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Y821"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Z821"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AU821" s="15"/>
      <c r="AV821" s="1" t="s">
        <v>1502</v>
      </c>
      <c r="BG821" s="7" t="s">
        <v>1503</v>
      </c>
      <c r="BH821" s="1" t="s">
        <v>1947</v>
      </c>
      <c r="BI821" s="2" t="s">
        <v>4618</v>
      </c>
      <c r="BJ821" s="1" t="s">
        <v>2026</v>
      </c>
      <c r="BK821" s="1" t="s">
        <v>4619</v>
      </c>
      <c r="BL821" s="1" t="s">
        <v>1959</v>
      </c>
      <c r="BM821" s="2" t="s">
        <v>4620</v>
      </c>
      <c r="BN821" s="1" t="s">
        <v>1875</v>
      </c>
      <c r="BO821" s="2" t="s">
        <v>4621</v>
      </c>
    </row>
    <row r="822" spans="1:69" ht="72" x14ac:dyDescent="0.45">
      <c r="A822" s="5">
        <v>821</v>
      </c>
      <c r="B822" s="6" t="s">
        <v>583</v>
      </c>
      <c r="C822" s="6" t="s">
        <v>1816</v>
      </c>
      <c r="D822" s="7" t="s">
        <v>9794</v>
      </c>
      <c r="E822" s="1" t="s">
        <v>583</v>
      </c>
      <c r="F822" s="1"/>
      <c r="G822" s="1"/>
      <c r="J822" s="1" t="s">
        <v>9795</v>
      </c>
      <c r="K822" s="1" t="s">
        <v>4622</v>
      </c>
      <c r="L822" s="2" t="s">
        <v>9114</v>
      </c>
      <c r="P822" s="7" t="s">
        <v>1241</v>
      </c>
      <c r="AV822" s="1" t="s">
        <v>1502</v>
      </c>
      <c r="BG822" s="7" t="s">
        <v>1503</v>
      </c>
      <c r="BH822" s="1" t="s">
        <v>1947</v>
      </c>
      <c r="BI822" s="1" t="s">
        <v>4623</v>
      </c>
      <c r="BJ822" s="1" t="s">
        <v>1875</v>
      </c>
      <c r="BK822" s="1" t="s">
        <v>4624</v>
      </c>
    </row>
    <row r="823" spans="1:69" ht="126" x14ac:dyDescent="0.45">
      <c r="A823" s="5">
        <v>822</v>
      </c>
      <c r="B823" s="6" t="s">
        <v>584</v>
      </c>
      <c r="C823" s="6" t="s">
        <v>1816</v>
      </c>
      <c r="D823" s="7" t="s">
        <v>9794</v>
      </c>
      <c r="E823" s="1" t="s">
        <v>1327</v>
      </c>
      <c r="F823" s="1" t="s">
        <v>4625</v>
      </c>
      <c r="G823" s="1"/>
      <c r="J823" s="1" t="s">
        <v>9795</v>
      </c>
      <c r="K823" s="2" t="s">
        <v>9115</v>
      </c>
      <c r="L823" s="2" t="s">
        <v>9116</v>
      </c>
      <c r="P823" s="7" t="s">
        <v>1241</v>
      </c>
      <c r="AU823" s="15"/>
      <c r="AV823" s="1" t="s">
        <v>1502</v>
      </c>
      <c r="BG823" s="7" t="s">
        <v>1503</v>
      </c>
      <c r="BH823" s="1" t="s">
        <v>1947</v>
      </c>
      <c r="BI823" s="2" t="s">
        <v>4626</v>
      </c>
      <c r="BJ823" s="1" t="s">
        <v>1959</v>
      </c>
      <c r="BK823" s="2" t="s">
        <v>4627</v>
      </c>
      <c r="BL823" s="1" t="s">
        <v>1875</v>
      </c>
      <c r="BM823" s="2" t="s">
        <v>4628</v>
      </c>
    </row>
    <row r="824" spans="1:69" ht="54" x14ac:dyDescent="0.45">
      <c r="A824" s="5">
        <v>823</v>
      </c>
      <c r="B824" s="6" t="s">
        <v>585</v>
      </c>
      <c r="C824" s="6" t="s">
        <v>1816</v>
      </c>
      <c r="D824" s="7" t="s">
        <v>9794</v>
      </c>
      <c r="E824" s="1" t="s">
        <v>585</v>
      </c>
      <c r="F824" s="1"/>
      <c r="G824" s="1"/>
      <c r="J824" s="1" t="s">
        <v>9795</v>
      </c>
      <c r="K824" s="1" t="s">
        <v>4629</v>
      </c>
      <c r="L824" s="2" t="s">
        <v>9117</v>
      </c>
      <c r="P824" s="7" t="s">
        <v>1241</v>
      </c>
      <c r="AU824" s="15"/>
      <c r="AV824" s="1" t="s">
        <v>1502</v>
      </c>
      <c r="BG824" s="7" t="s">
        <v>1503</v>
      </c>
      <c r="BH824" s="1" t="s">
        <v>1877</v>
      </c>
      <c r="BI824" s="2" t="s">
        <v>4630</v>
      </c>
    </row>
    <row r="825" spans="1:69" ht="198" x14ac:dyDescent="0.45">
      <c r="A825" s="5">
        <v>824</v>
      </c>
      <c r="B825" s="6" t="s">
        <v>586</v>
      </c>
      <c r="C825" s="6" t="s">
        <v>1816</v>
      </c>
      <c r="D825" s="7" t="s">
        <v>9794</v>
      </c>
      <c r="E825" s="1" t="s">
        <v>1447</v>
      </c>
      <c r="F825" s="1" t="s">
        <v>4631</v>
      </c>
      <c r="G825" s="1"/>
      <c r="J825" s="1" t="s">
        <v>9795</v>
      </c>
      <c r="K825" s="2"/>
      <c r="L825" s="3" t="s">
        <v>9118</v>
      </c>
      <c r="P825" s="7" t="s">
        <v>1241</v>
      </c>
      <c r="AU825" s="15"/>
      <c r="AV825" s="1" t="s">
        <v>1502</v>
      </c>
      <c r="BG825" s="7" t="s">
        <v>1503</v>
      </c>
      <c r="BH825" s="1" t="s">
        <v>1947</v>
      </c>
      <c r="BI825" s="2" t="s">
        <v>4632</v>
      </c>
      <c r="BJ825" s="1" t="s">
        <v>2036</v>
      </c>
      <c r="BK825" s="1" t="s">
        <v>4633</v>
      </c>
      <c r="BL825" s="1" t="s">
        <v>1959</v>
      </c>
      <c r="BM825" s="2" t="s">
        <v>4634</v>
      </c>
      <c r="BN825" s="1" t="s">
        <v>1875</v>
      </c>
      <c r="BO825" s="2" t="s">
        <v>4635</v>
      </c>
    </row>
    <row r="826" spans="1:69" ht="234" x14ac:dyDescent="0.45">
      <c r="A826" s="5">
        <v>825</v>
      </c>
      <c r="B826" s="8" t="s">
        <v>587</v>
      </c>
      <c r="C826" s="6" t="s">
        <v>1816</v>
      </c>
      <c r="D826" s="7" t="s">
        <v>9794</v>
      </c>
      <c r="E826" s="1" t="s">
        <v>1859</v>
      </c>
      <c r="F826" s="1" t="s">
        <v>1251</v>
      </c>
      <c r="G826" s="1" t="s">
        <v>1416</v>
      </c>
      <c r="J826" s="1" t="s">
        <v>9795</v>
      </c>
      <c r="K826" s="2"/>
      <c r="L826" s="3" t="s">
        <v>9119</v>
      </c>
      <c r="P826" s="7" t="s">
        <v>1241</v>
      </c>
      <c r="Q826" s="13" t="str">
        <f>INDEX($L:$L, MATCH("respond", $B:$B, 0))</f>
        <v>&lt;span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v>
      </c>
      <c r="AU826" s="15"/>
      <c r="AV826" s="1" t="s">
        <v>1502</v>
      </c>
      <c r="BG826" s="7" t="s">
        <v>1503</v>
      </c>
      <c r="BH826" s="1" t="s">
        <v>1947</v>
      </c>
      <c r="BI826" s="2" t="s">
        <v>4636</v>
      </c>
      <c r="BJ826" s="1" t="s">
        <v>1967</v>
      </c>
      <c r="BK826" s="2" t="s">
        <v>4637</v>
      </c>
      <c r="BL826" s="1" t="s">
        <v>1996</v>
      </c>
      <c r="BM826" s="2" t="s">
        <v>4638</v>
      </c>
      <c r="BN826" s="1" t="s">
        <v>1877</v>
      </c>
      <c r="BO826" s="2" t="s">
        <v>4639</v>
      </c>
    </row>
    <row r="827" spans="1:69" ht="144" x14ac:dyDescent="0.45">
      <c r="A827" s="5">
        <v>826</v>
      </c>
      <c r="B827" s="8" t="s">
        <v>588</v>
      </c>
      <c r="C827" s="6" t="s">
        <v>1816</v>
      </c>
      <c r="D827" s="7" t="s">
        <v>9794</v>
      </c>
      <c r="E827" s="1" t="s">
        <v>29</v>
      </c>
      <c r="F827" s="1" t="s">
        <v>4640</v>
      </c>
      <c r="G827" s="1"/>
      <c r="J827" s="1" t="s">
        <v>9795</v>
      </c>
      <c r="K827" s="2"/>
      <c r="L827" s="3" t="s">
        <v>9120</v>
      </c>
      <c r="M827" s="1" t="s">
        <v>12207</v>
      </c>
      <c r="P827" s="7" t="s">
        <v>1241</v>
      </c>
      <c r="Q827"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827"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827"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T827"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U827"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V827"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827"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827"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827"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827"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827"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827"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827"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827"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827"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827" s="15"/>
      <c r="AV827" s="1" t="s">
        <v>1502</v>
      </c>
      <c r="BG827" s="7" t="s">
        <v>1503</v>
      </c>
      <c r="BH827" s="1" t="s">
        <v>1959</v>
      </c>
      <c r="BI827" s="2" t="s">
        <v>4641</v>
      </c>
      <c r="BJ827" s="1" t="s">
        <v>1875</v>
      </c>
      <c r="BK827" s="2" t="s">
        <v>4642</v>
      </c>
      <c r="BL827" s="1" t="s">
        <v>1877</v>
      </c>
      <c r="BM827" s="2" t="s">
        <v>4643</v>
      </c>
    </row>
    <row r="828" spans="1:69" ht="126" x14ac:dyDescent="0.45">
      <c r="A828" s="5">
        <v>827</v>
      </c>
      <c r="B828" s="6" t="s">
        <v>589</v>
      </c>
      <c r="C828" s="6" t="s">
        <v>1816</v>
      </c>
      <c r="D828" s="7" t="s">
        <v>9794</v>
      </c>
      <c r="E828" s="1" t="s">
        <v>1251</v>
      </c>
      <c r="F828" s="1" t="s">
        <v>4644</v>
      </c>
      <c r="G828" s="1" t="s">
        <v>880</v>
      </c>
      <c r="J828" s="1" t="s">
        <v>9795</v>
      </c>
      <c r="K828" s="2" t="s">
        <v>9121</v>
      </c>
      <c r="L828" s="2" t="s">
        <v>9122</v>
      </c>
      <c r="P828" s="7" t="s">
        <v>1241</v>
      </c>
      <c r="AU828" s="15"/>
      <c r="AV828" s="1" t="s">
        <v>1502</v>
      </c>
      <c r="BG828" s="7" t="s">
        <v>1503</v>
      </c>
      <c r="BH828" s="1" t="s">
        <v>1947</v>
      </c>
      <c r="BI828" s="2" t="s">
        <v>4645</v>
      </c>
      <c r="BJ828" s="1" t="s">
        <v>1959</v>
      </c>
      <c r="BK828" s="2" t="s">
        <v>4646</v>
      </c>
      <c r="BL828" s="1" t="s">
        <v>2114</v>
      </c>
      <c r="BM828" s="2" t="s">
        <v>4647</v>
      </c>
      <c r="BN828" s="1" t="s">
        <v>1875</v>
      </c>
      <c r="BO828" s="2" t="s">
        <v>4648</v>
      </c>
    </row>
    <row r="829" spans="1:69" ht="162" x14ac:dyDescent="0.45">
      <c r="A829" s="5">
        <v>828</v>
      </c>
      <c r="B829" s="8" t="s">
        <v>590</v>
      </c>
      <c r="C829" s="6" t="s">
        <v>1816</v>
      </c>
      <c r="D829" s="7" t="s">
        <v>9794</v>
      </c>
      <c r="E829" s="1" t="s">
        <v>1251</v>
      </c>
      <c r="F829" s="1" t="s">
        <v>4649</v>
      </c>
      <c r="G829" s="1"/>
      <c r="J829" s="1" t="s">
        <v>9795</v>
      </c>
      <c r="K829" s="2"/>
      <c r="L829" s="2" t="s">
        <v>9123</v>
      </c>
      <c r="M829" s="1" t="s">
        <v>12203</v>
      </c>
      <c r="P829" s="7" t="s">
        <v>1241</v>
      </c>
      <c r="Q829" s="13" t="str">
        <f>INDEX($L:$L, MATCH("solve", $B:$B, 0))</f>
        <v>&lt;span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v>
      </c>
      <c r="R829" s="13" t="str">
        <f>INDEX($L:$L, MATCH("absolute", $B:$B, 0))</f>
        <v>&lt;span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v>
      </c>
      <c r="AU829" s="15"/>
      <c r="AV829" s="1" t="s">
        <v>1502</v>
      </c>
      <c r="BG829" s="7" t="s">
        <v>1503</v>
      </c>
      <c r="BH829" s="1" t="s">
        <v>1947</v>
      </c>
      <c r="BI829" s="2" t="s">
        <v>4650</v>
      </c>
      <c r="BJ829" s="1" t="s">
        <v>1959</v>
      </c>
      <c r="BK829" s="1" t="s">
        <v>4651</v>
      </c>
      <c r="BL829" s="1" t="s">
        <v>1875</v>
      </c>
      <c r="BM829" s="2" t="s">
        <v>4652</v>
      </c>
      <c r="BN829" s="1" t="s">
        <v>1877</v>
      </c>
      <c r="BO829" s="2" t="s">
        <v>4653</v>
      </c>
    </row>
    <row r="830" spans="1:69" ht="126" x14ac:dyDescent="0.45">
      <c r="A830" s="5">
        <v>829</v>
      </c>
      <c r="B830" s="8" t="s">
        <v>591</v>
      </c>
      <c r="C830" s="6" t="s">
        <v>1816</v>
      </c>
      <c r="D830" s="7" t="s">
        <v>9794</v>
      </c>
      <c r="E830" s="1" t="s">
        <v>1251</v>
      </c>
      <c r="F830" s="1" t="s">
        <v>4654</v>
      </c>
      <c r="G830" s="1"/>
      <c r="J830" s="1" t="s">
        <v>9795</v>
      </c>
      <c r="K830" s="2" t="s">
        <v>9124</v>
      </c>
      <c r="L830" s="2" t="s">
        <v>9125</v>
      </c>
      <c r="P830" s="7" t="s">
        <v>1241</v>
      </c>
      <c r="Q830" s="13" t="str">
        <f>INDEX($L:$L, MATCH("suggest", $B:$B, 0))</f>
        <v>&lt;span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v>
      </c>
      <c r="R830" s="13"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U830" s="15"/>
      <c r="AV830" s="1" t="s">
        <v>1502</v>
      </c>
      <c r="BG830" s="7" t="s">
        <v>1503</v>
      </c>
      <c r="BH830" s="1" t="s">
        <v>1947</v>
      </c>
      <c r="BI830" s="2" t="s">
        <v>4655</v>
      </c>
      <c r="BJ830" s="1" t="s">
        <v>2036</v>
      </c>
      <c r="BK830" s="2" t="s">
        <v>4656</v>
      </c>
      <c r="BL830" s="1" t="s">
        <v>1967</v>
      </c>
      <c r="BM830" s="2" t="s">
        <v>4657</v>
      </c>
      <c r="BN830" s="1" t="s">
        <v>1959</v>
      </c>
      <c r="BO830" s="2" t="s">
        <v>4658</v>
      </c>
      <c r="BP830" s="1" t="s">
        <v>1875</v>
      </c>
      <c r="BQ830" s="2" t="s">
        <v>4659</v>
      </c>
    </row>
    <row r="831" spans="1:69" ht="144" x14ac:dyDescent="0.45">
      <c r="A831" s="5">
        <v>830</v>
      </c>
      <c r="B831" s="8" t="s">
        <v>592</v>
      </c>
      <c r="C831" s="6" t="s">
        <v>1816</v>
      </c>
      <c r="D831" s="7" t="s">
        <v>9794</v>
      </c>
      <c r="E831" s="1" t="s">
        <v>1730</v>
      </c>
      <c r="F831" s="1" t="s">
        <v>4660</v>
      </c>
      <c r="G831" s="1"/>
      <c r="J831" s="1" t="s">
        <v>9795</v>
      </c>
      <c r="K831" s="2" t="s">
        <v>9126</v>
      </c>
      <c r="L831" s="3" t="s">
        <v>9127</v>
      </c>
      <c r="M831" s="1" t="s">
        <v>12272</v>
      </c>
      <c r="P831" s="7" t="s">
        <v>1241</v>
      </c>
      <c r="Q831" s="13" t="str">
        <f>INDEX($L:$L, MATCH("disrupt", $B:$B, 0))</f>
        <v>&lt;span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v>
      </c>
      <c r="AU831" s="15"/>
      <c r="AV831" s="1" t="s">
        <v>1502</v>
      </c>
      <c r="BG831" s="7" t="s">
        <v>1503</v>
      </c>
      <c r="BH831" s="1" t="s">
        <v>1947</v>
      </c>
      <c r="BI831" s="2" t="s">
        <v>4661</v>
      </c>
      <c r="BJ831" s="1" t="s">
        <v>1875</v>
      </c>
      <c r="BK831" s="2" t="s">
        <v>4662</v>
      </c>
    </row>
    <row r="832" spans="1:69" ht="126" x14ac:dyDescent="0.45">
      <c r="A832" s="5">
        <v>831</v>
      </c>
      <c r="B832" s="6" t="s">
        <v>593</v>
      </c>
      <c r="C832" s="6" t="s">
        <v>1816</v>
      </c>
      <c r="D832" s="7" t="s">
        <v>9794</v>
      </c>
      <c r="E832" s="1" t="s">
        <v>593</v>
      </c>
      <c r="F832" s="1"/>
      <c r="G832" s="1"/>
      <c r="J832" s="1" t="s">
        <v>9795</v>
      </c>
      <c r="K832" s="1" t="s">
        <v>4663</v>
      </c>
      <c r="L832" s="2" t="s">
        <v>9128</v>
      </c>
      <c r="P832" s="7" t="s">
        <v>1241</v>
      </c>
      <c r="AU832" s="15"/>
      <c r="AV832" s="1" t="s">
        <v>1502</v>
      </c>
      <c r="BG832" s="7" t="s">
        <v>1503</v>
      </c>
      <c r="BH832" s="1" t="s">
        <v>1875</v>
      </c>
      <c r="BI832" s="2" t="s">
        <v>4664</v>
      </c>
      <c r="BJ832" s="1" t="s">
        <v>1877</v>
      </c>
      <c r="BK832" s="2" t="s">
        <v>4665</v>
      </c>
    </row>
    <row r="833" spans="1:69" ht="144" x14ac:dyDescent="0.45">
      <c r="A833" s="5">
        <v>832</v>
      </c>
      <c r="B833" s="6" t="s">
        <v>594</v>
      </c>
      <c r="C833" s="6" t="s">
        <v>1816</v>
      </c>
      <c r="D833" s="7" t="s">
        <v>9794</v>
      </c>
      <c r="E833" s="1" t="s">
        <v>31</v>
      </c>
      <c r="F833" s="1" t="s">
        <v>4565</v>
      </c>
      <c r="G833" s="1"/>
      <c r="J833" s="1" t="s">
        <v>9795</v>
      </c>
      <c r="K833" s="2" t="s">
        <v>9129</v>
      </c>
      <c r="L833" s="3" t="s">
        <v>9130</v>
      </c>
      <c r="M833" s="1" t="s">
        <v>12224</v>
      </c>
      <c r="P833" s="7" t="s">
        <v>1241</v>
      </c>
      <c r="Q833" s="13"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R833" s="13"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S833" s="13"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T833" s="13"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AU833" s="15"/>
      <c r="AV833" s="1" t="s">
        <v>1502</v>
      </c>
      <c r="BG833" s="7" t="s">
        <v>1503</v>
      </c>
      <c r="BH833" s="1" t="s">
        <v>1947</v>
      </c>
      <c r="BI833" s="2" t="s">
        <v>4666</v>
      </c>
      <c r="BJ833" s="1" t="s">
        <v>1875</v>
      </c>
      <c r="BK833" s="2" t="s">
        <v>4667</v>
      </c>
    </row>
    <row r="834" spans="1:69" ht="144" x14ac:dyDescent="0.45">
      <c r="A834" s="5">
        <v>833</v>
      </c>
      <c r="B834" s="8" t="s">
        <v>4668</v>
      </c>
      <c r="C834" s="6" t="s">
        <v>1816</v>
      </c>
      <c r="D834" s="7" t="s">
        <v>9794</v>
      </c>
      <c r="E834" s="1" t="s">
        <v>1467</v>
      </c>
      <c r="F834" s="1" t="s">
        <v>4640</v>
      </c>
      <c r="G834" s="1"/>
      <c r="J834" s="1" t="s">
        <v>9795</v>
      </c>
      <c r="K834" s="2" t="s">
        <v>9131</v>
      </c>
      <c r="L834" s="3" t="s">
        <v>9132</v>
      </c>
      <c r="M834" s="1" t="s">
        <v>12207</v>
      </c>
      <c r="P834" s="7" t="s">
        <v>1241</v>
      </c>
      <c r="Q834"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834"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834"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834"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834"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834"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834"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834"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834"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834"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834"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834"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834"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834"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834"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834" s="15"/>
      <c r="AV834" s="1" t="s">
        <v>1502</v>
      </c>
      <c r="BG834" s="7" t="s">
        <v>1503</v>
      </c>
      <c r="BH834" s="1" t="s">
        <v>1947</v>
      </c>
      <c r="BI834" s="2" t="s">
        <v>4669</v>
      </c>
      <c r="BJ834" s="1" t="s">
        <v>2147</v>
      </c>
      <c r="BK834" s="1" t="s">
        <v>4558</v>
      </c>
      <c r="BL834" s="1" t="s">
        <v>1504</v>
      </c>
      <c r="BM834" s="2" t="s">
        <v>4670</v>
      </c>
      <c r="BN834" s="1" t="s">
        <v>2044</v>
      </c>
      <c r="BO834" s="2" t="s">
        <v>4671</v>
      </c>
      <c r="BP834" s="1" t="s">
        <v>1883</v>
      </c>
      <c r="BQ834" s="2" t="s">
        <v>4672</v>
      </c>
    </row>
    <row r="835" spans="1:69" ht="108" x14ac:dyDescent="0.45">
      <c r="A835" s="5">
        <v>834</v>
      </c>
      <c r="B835" s="6" t="s">
        <v>4673</v>
      </c>
      <c r="C835" s="6" t="s">
        <v>1816</v>
      </c>
      <c r="D835" s="7" t="s">
        <v>9794</v>
      </c>
      <c r="E835" s="1" t="s">
        <v>5787</v>
      </c>
      <c r="F835" s="1" t="s">
        <v>5001</v>
      </c>
      <c r="G835" s="1" t="s">
        <v>9032</v>
      </c>
      <c r="J835" s="1" t="s">
        <v>9795</v>
      </c>
      <c r="K835" s="2" t="s">
        <v>4674</v>
      </c>
      <c r="L835" s="2" t="s">
        <v>9133</v>
      </c>
      <c r="P835" s="7" t="s">
        <v>1241</v>
      </c>
      <c r="Q835" s="13"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U835" s="15"/>
      <c r="AV835" s="1" t="s">
        <v>1502</v>
      </c>
      <c r="BG835" s="7" t="s">
        <v>1503</v>
      </c>
      <c r="BH835" s="1" t="s">
        <v>2129</v>
      </c>
      <c r="BI835" s="2" t="s">
        <v>4675</v>
      </c>
      <c r="BJ835" s="1" t="s">
        <v>2044</v>
      </c>
      <c r="BK835" s="2" t="s">
        <v>4676</v>
      </c>
    </row>
    <row r="836" spans="1:69" ht="90" x14ac:dyDescent="0.45">
      <c r="A836" s="5">
        <v>835</v>
      </c>
      <c r="B836" s="6" t="s">
        <v>4677</v>
      </c>
      <c r="C836" s="6" t="s">
        <v>1816</v>
      </c>
      <c r="D836" s="7" t="s">
        <v>9794</v>
      </c>
      <c r="E836" s="1" t="s">
        <v>595</v>
      </c>
      <c r="F836" s="1"/>
      <c r="G836" s="1"/>
      <c r="J836" s="1" t="s">
        <v>9795</v>
      </c>
      <c r="K836" s="2"/>
      <c r="L836" s="2" t="s">
        <v>10417</v>
      </c>
      <c r="P836" s="7" t="s">
        <v>1241</v>
      </c>
      <c r="AU836" s="15"/>
      <c r="AV836" s="1" t="s">
        <v>1502</v>
      </c>
      <c r="BG836" s="7" t="s">
        <v>1503</v>
      </c>
      <c r="BH836" s="1" t="s">
        <v>1947</v>
      </c>
      <c r="BI836" s="2" t="s">
        <v>4678</v>
      </c>
      <c r="BJ836" s="1" t="s">
        <v>1504</v>
      </c>
      <c r="BK836" s="2" t="s">
        <v>4679</v>
      </c>
      <c r="BL836" s="1" t="s">
        <v>2044</v>
      </c>
      <c r="BM836" s="2" t="s">
        <v>4680</v>
      </c>
    </row>
    <row r="837" spans="1:69" ht="126" x14ac:dyDescent="0.45">
      <c r="A837" s="5">
        <v>836</v>
      </c>
      <c r="B837" s="6" t="s">
        <v>4681</v>
      </c>
      <c r="C837" s="6" t="s">
        <v>1816</v>
      </c>
      <c r="D837" s="7" t="s">
        <v>9794</v>
      </c>
      <c r="E837" s="1" t="s">
        <v>596</v>
      </c>
      <c r="F837" s="1"/>
      <c r="G837" s="1"/>
      <c r="J837" s="1" t="s">
        <v>9795</v>
      </c>
      <c r="K837" s="2"/>
      <c r="L837" s="3" t="s">
        <v>9134</v>
      </c>
      <c r="P837" s="7" t="s">
        <v>1241</v>
      </c>
      <c r="AU837" s="15"/>
      <c r="AV837" s="1" t="s">
        <v>1502</v>
      </c>
      <c r="BG837" s="7" t="s">
        <v>1503</v>
      </c>
      <c r="BH837" s="1" t="s">
        <v>1947</v>
      </c>
      <c r="BI837" s="2" t="s">
        <v>4682</v>
      </c>
      <c r="BJ837" s="1" t="s">
        <v>1504</v>
      </c>
      <c r="BK837" s="2" t="s">
        <v>4683</v>
      </c>
      <c r="BL837" s="1" t="s">
        <v>1883</v>
      </c>
      <c r="BM837" s="2" t="s">
        <v>4684</v>
      </c>
    </row>
    <row r="838" spans="1:69" ht="126" x14ac:dyDescent="0.45">
      <c r="A838" s="5">
        <v>837</v>
      </c>
      <c r="B838" s="6" t="s">
        <v>4685</v>
      </c>
      <c r="C838" s="6" t="s">
        <v>1816</v>
      </c>
      <c r="D838" s="7" t="s">
        <v>9794</v>
      </c>
      <c r="E838" s="1" t="s">
        <v>1327</v>
      </c>
      <c r="F838" s="1" t="s">
        <v>6522</v>
      </c>
      <c r="G838" s="1"/>
      <c r="J838" s="1" t="s">
        <v>9795</v>
      </c>
      <c r="K838" s="2" t="s">
        <v>9135</v>
      </c>
      <c r="L838" s="2" t="s">
        <v>9136</v>
      </c>
      <c r="P838" s="7" t="s">
        <v>1241</v>
      </c>
      <c r="Q838" s="13" t="str">
        <f>INDEX($L:$L, MATCH("offend", $B:$B, 0))</f>
        <v>&lt;span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v>
      </c>
      <c r="AU838" s="15"/>
      <c r="AV838" s="1" t="s">
        <v>1502</v>
      </c>
      <c r="BG838" s="7" t="s">
        <v>1503</v>
      </c>
      <c r="BH838" s="1" t="s">
        <v>1947</v>
      </c>
      <c r="BI838" s="2" t="s">
        <v>4686</v>
      </c>
      <c r="BJ838" s="1" t="s">
        <v>1504</v>
      </c>
      <c r="BK838" s="2" t="s">
        <v>4687</v>
      </c>
      <c r="BL838" s="1" t="s">
        <v>2044</v>
      </c>
      <c r="BM838" s="2" t="s">
        <v>4688</v>
      </c>
    </row>
    <row r="839" spans="1:69" ht="144" x14ac:dyDescent="0.45">
      <c r="A839" s="5">
        <v>838</v>
      </c>
      <c r="B839" s="6" t="s">
        <v>4689</v>
      </c>
      <c r="C839" s="6" t="s">
        <v>1816</v>
      </c>
      <c r="D839" s="7" t="s">
        <v>9794</v>
      </c>
      <c r="E839" s="1" t="s">
        <v>1825</v>
      </c>
      <c r="F839" s="1" t="s">
        <v>9033</v>
      </c>
      <c r="G839" s="1"/>
      <c r="J839" s="1" t="s">
        <v>9795</v>
      </c>
      <c r="K839" s="2" t="s">
        <v>9137</v>
      </c>
      <c r="L839" s="2" t="s">
        <v>9138</v>
      </c>
      <c r="P839" s="7" t="s">
        <v>1241</v>
      </c>
      <c r="AU839" s="15"/>
      <c r="AV839" s="1" t="s">
        <v>1502</v>
      </c>
      <c r="BG839" s="7" t="s">
        <v>1503</v>
      </c>
      <c r="BH839" s="1" t="s">
        <v>2423</v>
      </c>
      <c r="BI839" s="2" t="s">
        <v>4690</v>
      </c>
      <c r="BJ839" s="1" t="s">
        <v>2034</v>
      </c>
      <c r="BK839" s="2" t="s">
        <v>4691</v>
      </c>
      <c r="BL839" s="1" t="s">
        <v>1504</v>
      </c>
      <c r="BM839" s="2" t="s">
        <v>4692</v>
      </c>
      <c r="BN839" s="1" t="s">
        <v>2044</v>
      </c>
      <c r="BO839" s="2" t="s">
        <v>4693</v>
      </c>
    </row>
    <row r="840" spans="1:69" ht="198" x14ac:dyDescent="0.45">
      <c r="A840" s="5">
        <v>839</v>
      </c>
      <c r="B840" s="8" t="s">
        <v>4694</v>
      </c>
      <c r="C840" s="6" t="s">
        <v>1816</v>
      </c>
      <c r="D840" s="7" t="s">
        <v>9794</v>
      </c>
      <c r="E840" s="1" t="s">
        <v>9034</v>
      </c>
      <c r="F840" s="1" t="s">
        <v>1422</v>
      </c>
      <c r="G840" s="1"/>
      <c r="J840" s="1" t="s">
        <v>9795</v>
      </c>
      <c r="K840" s="2"/>
      <c r="L840" s="3" t="s">
        <v>9139</v>
      </c>
      <c r="M840" s="1" t="s">
        <v>12219</v>
      </c>
      <c r="P840" s="7" t="s">
        <v>1241</v>
      </c>
      <c r="Q840" s="13"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R840" s="13"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S840" s="13"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T840" s="13"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U840" s="13"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AU840" s="15"/>
      <c r="AV840" s="1" t="s">
        <v>1502</v>
      </c>
      <c r="BG840" s="7" t="s">
        <v>1503</v>
      </c>
      <c r="BH840" s="1" t="s">
        <v>1947</v>
      </c>
      <c r="BI840" s="2" t="s">
        <v>4695</v>
      </c>
      <c r="BJ840" s="1" t="s">
        <v>1504</v>
      </c>
      <c r="BK840" s="2" t="s">
        <v>4696</v>
      </c>
      <c r="BL840" s="1" t="s">
        <v>2044</v>
      </c>
      <c r="BM840" s="2" t="s">
        <v>4697</v>
      </c>
    </row>
    <row r="841" spans="1:69" ht="252" x14ac:dyDescent="0.45">
      <c r="A841" s="5">
        <v>840</v>
      </c>
      <c r="B841" s="8" t="s">
        <v>4698</v>
      </c>
      <c r="C841" s="6" t="s">
        <v>1816</v>
      </c>
      <c r="D841" s="7" t="s">
        <v>9794</v>
      </c>
      <c r="E841" s="1" t="s">
        <v>9035</v>
      </c>
      <c r="F841" s="1" t="s">
        <v>1422</v>
      </c>
      <c r="G841" s="1"/>
      <c r="J841" s="1" t="s">
        <v>9795</v>
      </c>
      <c r="K841" s="2"/>
      <c r="L841" s="3" t="s">
        <v>9140</v>
      </c>
      <c r="P841" s="7" t="s">
        <v>1241</v>
      </c>
      <c r="Q841" s="16"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R841" s="19"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S841" s="19" t="str">
        <f>INDEX($L:$L, MATCH("whereas", $B:$B, 0))</f>
        <v>&lt;span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v>
      </c>
      <c r="T841" s="19"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U841" s="19"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V841" s="19" t="str">
        <f>INDEX($L:$L, MATCH("quote", $B:$B, 0))</f>
        <v>&lt;span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文章の特定の箇所から正確に言葉を抜き出すことを指すようになり、ある言葉を「引用する」という意味になった。&lt;/span&gt;</v>
      </c>
      <c r="AU841" s="15"/>
      <c r="AV841" s="1" t="s">
        <v>1502</v>
      </c>
      <c r="BG841" s="7" t="s">
        <v>1503</v>
      </c>
      <c r="BH841" s="1" t="s">
        <v>1947</v>
      </c>
      <c r="BI841" s="2" t="s">
        <v>4699</v>
      </c>
      <c r="BJ841" s="1" t="s">
        <v>1980</v>
      </c>
      <c r="BK841" s="1" t="s">
        <v>9141</v>
      </c>
      <c r="BL841" s="1" t="s">
        <v>2017</v>
      </c>
      <c r="BM841" s="2" t="s">
        <v>4700</v>
      </c>
      <c r="BN841" s="1" t="s">
        <v>2044</v>
      </c>
      <c r="BO841" s="2" t="s">
        <v>4701</v>
      </c>
      <c r="BP841" s="1" t="s">
        <v>1883</v>
      </c>
      <c r="BQ841" s="2" t="s">
        <v>9142</v>
      </c>
    </row>
    <row r="842" spans="1:69" ht="216" x14ac:dyDescent="0.45">
      <c r="A842" s="5">
        <v>841</v>
      </c>
      <c r="B842" s="8" t="s">
        <v>597</v>
      </c>
      <c r="C842" s="6" t="s">
        <v>6851</v>
      </c>
      <c r="D842" s="7" t="s">
        <v>9794</v>
      </c>
      <c r="E842" s="1" t="s">
        <v>5296</v>
      </c>
      <c r="F842" s="1" t="s">
        <v>1584</v>
      </c>
      <c r="G842" s="1"/>
      <c r="J842" s="1" t="s">
        <v>9795</v>
      </c>
      <c r="K842" s="1" t="s">
        <v>9143</v>
      </c>
      <c r="L842" s="2" t="s">
        <v>9144</v>
      </c>
      <c r="M842" s="1" t="s">
        <v>12198</v>
      </c>
      <c r="P842" s="7" t="s">
        <v>1241</v>
      </c>
      <c r="Q842" s="13" t="str">
        <f>INDEX($L:$L, MATCH("patient", $B:$B, 0))</f>
        <v>&lt;span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v>
      </c>
      <c r="R842" s="13" t="str">
        <f>INDEX($L:$L, MATCH("passive", $B:$B, 0))</f>
        <v>&lt;span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v>
      </c>
      <c r="S842" s="13" t="str">
        <f>INDEX($L:$L, MATCH("compassion", $B:$B, 0))</f>
        <v>&lt;span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v>
      </c>
      <c r="AV842" s="1" t="s">
        <v>1502</v>
      </c>
      <c r="BG842" s="7" t="s">
        <v>1503</v>
      </c>
      <c r="BH842" s="1" t="s">
        <v>2458</v>
      </c>
      <c r="BI842" s="1" t="s">
        <v>4702</v>
      </c>
      <c r="BJ842" s="1" t="s">
        <v>1947</v>
      </c>
      <c r="BK842" s="2" t="s">
        <v>4703</v>
      </c>
      <c r="BL842" s="1" t="s">
        <v>2036</v>
      </c>
      <c r="BM842" s="2" t="s">
        <v>4704</v>
      </c>
      <c r="BN842" s="1" t="s">
        <v>1959</v>
      </c>
      <c r="BO842" s="2" t="s">
        <v>4705</v>
      </c>
      <c r="BP842" s="1" t="s">
        <v>1875</v>
      </c>
      <c r="BQ842" s="2" t="s">
        <v>4706</v>
      </c>
    </row>
    <row r="843" spans="1:69" ht="162" x14ac:dyDescent="0.45">
      <c r="A843" s="5">
        <v>842</v>
      </c>
      <c r="B843" s="6" t="s">
        <v>598</v>
      </c>
      <c r="C843" s="6" t="s">
        <v>6851</v>
      </c>
      <c r="D843" s="7" t="s">
        <v>9794</v>
      </c>
      <c r="E843" s="1" t="s">
        <v>1447</v>
      </c>
      <c r="F843" s="1" t="s">
        <v>9145</v>
      </c>
      <c r="G843" s="1" t="s">
        <v>9146</v>
      </c>
      <c r="J843" s="1" t="s">
        <v>9795</v>
      </c>
      <c r="K843" s="2" t="s">
        <v>9147</v>
      </c>
      <c r="L843" s="2" t="s">
        <v>9148</v>
      </c>
      <c r="P843" s="7" t="s">
        <v>1241</v>
      </c>
      <c r="AU843" s="15"/>
      <c r="AV843" s="1" t="s">
        <v>1502</v>
      </c>
      <c r="BG843" s="7" t="s">
        <v>1503</v>
      </c>
      <c r="BH843" s="1" t="s">
        <v>2458</v>
      </c>
      <c r="BI843" s="2" t="s">
        <v>9149</v>
      </c>
      <c r="BJ843" s="1" t="s">
        <v>2036</v>
      </c>
      <c r="BK843" s="1" t="s">
        <v>4707</v>
      </c>
      <c r="BL843" s="1" t="s">
        <v>1996</v>
      </c>
      <c r="BM843" s="2" t="s">
        <v>4708</v>
      </c>
      <c r="BN843" s="1" t="s">
        <v>1877</v>
      </c>
      <c r="BO843" s="2" t="s">
        <v>4709</v>
      </c>
    </row>
    <row r="844" spans="1:69" ht="108" x14ac:dyDescent="0.45">
      <c r="A844" s="5">
        <v>843</v>
      </c>
      <c r="B844" s="6" t="s">
        <v>599</v>
      </c>
      <c r="C844" s="6" t="s">
        <v>6851</v>
      </c>
      <c r="D844" s="7" t="s">
        <v>9794</v>
      </c>
      <c r="E844" s="1" t="s">
        <v>599</v>
      </c>
      <c r="F844" s="1"/>
      <c r="G844" s="1"/>
      <c r="J844" s="1" t="s">
        <v>9795</v>
      </c>
      <c r="K844" s="2" t="s">
        <v>9150</v>
      </c>
      <c r="L844" s="2" t="s">
        <v>9151</v>
      </c>
      <c r="P844" s="7" t="s">
        <v>1241</v>
      </c>
      <c r="Q844" s="13"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844" s="13"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844" s="13"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T844" s="13"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AU844" s="15"/>
      <c r="AV844" s="1" t="s">
        <v>1502</v>
      </c>
      <c r="BG844" s="7" t="s">
        <v>1503</v>
      </c>
      <c r="BH844" s="1" t="s">
        <v>2458</v>
      </c>
      <c r="BI844" s="2" t="s">
        <v>9152</v>
      </c>
      <c r="BJ844" s="1" t="s">
        <v>3408</v>
      </c>
      <c r="BK844" s="1" t="s">
        <v>4710</v>
      </c>
      <c r="BL844" s="1" t="s">
        <v>1877</v>
      </c>
      <c r="BM844" s="2" t="s">
        <v>4711</v>
      </c>
    </row>
    <row r="845" spans="1:69" ht="90" x14ac:dyDescent="0.45">
      <c r="A845" s="5">
        <v>844</v>
      </c>
      <c r="B845" s="8" t="s">
        <v>600</v>
      </c>
      <c r="C845" s="6" t="s">
        <v>6851</v>
      </c>
      <c r="D845" s="7" t="s">
        <v>9794</v>
      </c>
      <c r="E845" s="1" t="s">
        <v>600</v>
      </c>
      <c r="F845" s="1"/>
      <c r="G845" s="1"/>
      <c r="J845" s="1" t="s">
        <v>9795</v>
      </c>
      <c r="K845" s="2" t="s">
        <v>9153</v>
      </c>
      <c r="L845" s="2" t="s">
        <v>9154</v>
      </c>
      <c r="M845" s="1" t="s">
        <v>12219</v>
      </c>
      <c r="P845" s="7" t="s">
        <v>1241</v>
      </c>
      <c r="Q845" s="13"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R845" s="13"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S845" s="13"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T845" s="13"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U845" s="13"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AU845" s="15"/>
      <c r="AV845" s="1" t="s">
        <v>1502</v>
      </c>
      <c r="BG845" s="7" t="s">
        <v>1503</v>
      </c>
      <c r="BH845" s="1" t="s">
        <v>1947</v>
      </c>
      <c r="BI845" s="2" t="s">
        <v>4712</v>
      </c>
      <c r="BJ845" s="1" t="s">
        <v>1959</v>
      </c>
      <c r="BK845" s="1" t="s">
        <v>600</v>
      </c>
      <c r="BL845" s="1" t="s">
        <v>1875</v>
      </c>
      <c r="BM845" s="2" t="s">
        <v>4713</v>
      </c>
      <c r="BN845" s="1" t="s">
        <v>1877</v>
      </c>
      <c r="BO845" s="2" t="s">
        <v>4714</v>
      </c>
    </row>
    <row r="846" spans="1:69" ht="108" x14ac:dyDescent="0.45">
      <c r="A846" s="5">
        <v>845</v>
      </c>
      <c r="B846" s="6" t="s">
        <v>601</v>
      </c>
      <c r="C846" s="6" t="s">
        <v>6851</v>
      </c>
      <c r="D846" s="7" t="s">
        <v>9794</v>
      </c>
      <c r="E846" s="1" t="s">
        <v>601</v>
      </c>
      <c r="F846" s="1"/>
      <c r="G846" s="1"/>
      <c r="J846" s="1" t="s">
        <v>9795</v>
      </c>
      <c r="K846" s="2"/>
      <c r="L846" s="2" t="s">
        <v>9155</v>
      </c>
      <c r="P846" s="7" t="s">
        <v>1241</v>
      </c>
      <c r="AV846" s="1" t="s">
        <v>1502</v>
      </c>
      <c r="BG846" s="7" t="s">
        <v>1503</v>
      </c>
      <c r="BH846" s="1" t="s">
        <v>1872</v>
      </c>
      <c r="BI846" s="1" t="s">
        <v>4715</v>
      </c>
      <c r="BJ846" s="1" t="s">
        <v>1875</v>
      </c>
      <c r="BK846" s="1" t="s">
        <v>4716</v>
      </c>
      <c r="BL846" s="1" t="s">
        <v>1877</v>
      </c>
      <c r="BM846" s="2" t="s">
        <v>4717</v>
      </c>
    </row>
    <row r="847" spans="1:69" ht="108" x14ac:dyDescent="0.45">
      <c r="A847" s="5">
        <v>846</v>
      </c>
      <c r="B847" s="6" t="s">
        <v>602</v>
      </c>
      <c r="C847" s="6" t="s">
        <v>6851</v>
      </c>
      <c r="D847" s="7" t="s">
        <v>9794</v>
      </c>
      <c r="E847" s="1" t="s">
        <v>9156</v>
      </c>
      <c r="F847" s="1" t="s">
        <v>1522</v>
      </c>
      <c r="G847" s="1"/>
      <c r="J847" s="1" t="s">
        <v>9795</v>
      </c>
      <c r="K847" s="2" t="s">
        <v>9157</v>
      </c>
      <c r="L847" s="2" t="s">
        <v>9158</v>
      </c>
      <c r="P847" s="7" t="s">
        <v>1241</v>
      </c>
      <c r="Q847" s="13" t="str">
        <f>INDEX($L:$L, MATCH("grief", $B:$B, 0))</f>
        <v>&lt;span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v>
      </c>
      <c r="AU847" s="15"/>
      <c r="AV847" s="1" t="s">
        <v>1502</v>
      </c>
      <c r="BG847" s="7" t="s">
        <v>1503</v>
      </c>
      <c r="BH847" s="1" t="s">
        <v>1947</v>
      </c>
      <c r="BI847" s="2" t="s">
        <v>9159</v>
      </c>
      <c r="BJ847" s="1" t="s">
        <v>1959</v>
      </c>
      <c r="BK847" s="2" t="s">
        <v>4718</v>
      </c>
      <c r="BL847" s="1" t="s">
        <v>1877</v>
      </c>
      <c r="BM847" s="2" t="s">
        <v>4719</v>
      </c>
    </row>
    <row r="848" spans="1:69" ht="126" x14ac:dyDescent="0.45">
      <c r="A848" s="5">
        <v>847</v>
      </c>
      <c r="B848" s="6" t="s">
        <v>603</v>
      </c>
      <c r="C848" s="6" t="s">
        <v>6851</v>
      </c>
      <c r="D848" s="7" t="s">
        <v>9794</v>
      </c>
      <c r="E848" s="1" t="s">
        <v>603</v>
      </c>
      <c r="F848" s="1"/>
      <c r="G848" s="1"/>
      <c r="J848" s="1" t="s">
        <v>9795</v>
      </c>
      <c r="K848" s="2"/>
      <c r="L848" s="3" t="s">
        <v>9160</v>
      </c>
      <c r="P848" s="7" t="s">
        <v>1241</v>
      </c>
      <c r="AU848" s="15"/>
      <c r="AV848" s="1" t="s">
        <v>1502</v>
      </c>
      <c r="BG848" s="7" t="s">
        <v>1503</v>
      </c>
      <c r="BH848" s="1" t="s">
        <v>1947</v>
      </c>
      <c r="BI848" s="2" t="s">
        <v>4720</v>
      </c>
      <c r="BJ848" s="1" t="s">
        <v>1967</v>
      </c>
      <c r="BK848" s="2" t="s">
        <v>4721</v>
      </c>
      <c r="BL848" s="1" t="s">
        <v>1959</v>
      </c>
      <c r="BM848" s="1" t="s">
        <v>4722</v>
      </c>
      <c r="BN848" s="1" t="s">
        <v>1875</v>
      </c>
      <c r="BO848" s="2" t="s">
        <v>4723</v>
      </c>
      <c r="BP848" s="1" t="s">
        <v>1877</v>
      </c>
      <c r="BQ848" s="2" t="s">
        <v>4724</v>
      </c>
    </row>
    <row r="849" spans="1:69" ht="216" x14ac:dyDescent="0.45">
      <c r="A849" s="5">
        <v>848</v>
      </c>
      <c r="B849" s="8" t="s">
        <v>604</v>
      </c>
      <c r="C849" s="6" t="s">
        <v>6851</v>
      </c>
      <c r="D849" s="7" t="s">
        <v>9794</v>
      </c>
      <c r="E849" s="1" t="s">
        <v>1506</v>
      </c>
      <c r="F849" s="1" t="s">
        <v>4725</v>
      </c>
      <c r="G849" s="1"/>
      <c r="J849" s="1" t="s">
        <v>9795</v>
      </c>
      <c r="K849" s="1" t="s">
        <v>9161</v>
      </c>
      <c r="L849" s="3" t="s">
        <v>9162</v>
      </c>
      <c r="P849" s="7" t="s">
        <v>1241</v>
      </c>
      <c r="Q849" s="13" t="str">
        <f>INDEX($L:$L, MATCH("disaster", $B:$B, 0))</f>
        <v>&lt;span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v>
      </c>
      <c r="AU849" s="15"/>
      <c r="AV849" s="1" t="s">
        <v>1502</v>
      </c>
      <c r="BG849" s="7" t="s">
        <v>1503</v>
      </c>
      <c r="BH849" s="1" t="s">
        <v>2458</v>
      </c>
      <c r="BI849" s="2" t="s">
        <v>4726</v>
      </c>
      <c r="BJ849" s="1" t="s">
        <v>1877</v>
      </c>
      <c r="BK849" s="2" t="s">
        <v>4727</v>
      </c>
    </row>
    <row r="850" spans="1:69" ht="72" x14ac:dyDescent="0.45">
      <c r="A850" s="5">
        <v>849</v>
      </c>
      <c r="B850" s="8" t="s">
        <v>605</v>
      </c>
      <c r="C850" s="6" t="s">
        <v>6851</v>
      </c>
      <c r="D850" s="7" t="s">
        <v>9794</v>
      </c>
      <c r="E850" s="1" t="s">
        <v>605</v>
      </c>
      <c r="F850" s="1"/>
      <c r="G850" s="1"/>
      <c r="J850" s="1" t="s">
        <v>9795</v>
      </c>
      <c r="L850" s="2" t="s">
        <v>9163</v>
      </c>
      <c r="M850" s="1" t="s">
        <v>12179</v>
      </c>
      <c r="P850" s="7" t="s">
        <v>1241</v>
      </c>
      <c r="Q850" s="13"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R850" s="13"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S850" s="13"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T850" s="13"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AV850" s="1" t="s">
        <v>1502</v>
      </c>
      <c r="BG850" s="7" t="s">
        <v>1503</v>
      </c>
      <c r="BH850" s="1" t="s">
        <v>1976</v>
      </c>
      <c r="BI850" s="1" t="s">
        <v>4533</v>
      </c>
      <c r="BJ850" s="1" t="s">
        <v>1947</v>
      </c>
      <c r="BK850" s="1" t="s">
        <v>4728</v>
      </c>
      <c r="BL850" s="1" t="s">
        <v>1959</v>
      </c>
      <c r="BM850" s="1" t="s">
        <v>4729</v>
      </c>
      <c r="BN850" s="1" t="s">
        <v>1875</v>
      </c>
      <c r="BO850" s="2" t="s">
        <v>4730</v>
      </c>
    </row>
    <row r="851" spans="1:69" ht="144" x14ac:dyDescent="0.45">
      <c r="A851" s="5">
        <v>850</v>
      </c>
      <c r="B851" s="6" t="s">
        <v>606</v>
      </c>
      <c r="C851" s="6" t="s">
        <v>6851</v>
      </c>
      <c r="D851" s="7" t="s">
        <v>9794</v>
      </c>
      <c r="E851" s="1" t="s">
        <v>606</v>
      </c>
      <c r="F851" s="1"/>
      <c r="G851" s="1"/>
      <c r="J851" s="1" t="s">
        <v>9795</v>
      </c>
      <c r="K851" s="2"/>
      <c r="L851" s="2" t="s">
        <v>9164</v>
      </c>
      <c r="P851" s="7" t="s">
        <v>1241</v>
      </c>
      <c r="AU851" s="15"/>
      <c r="AV851" s="1" t="s">
        <v>1502</v>
      </c>
      <c r="BG851" s="7" t="s">
        <v>1503</v>
      </c>
      <c r="BH851" s="1" t="s">
        <v>1872</v>
      </c>
      <c r="BI851" s="2" t="s">
        <v>4731</v>
      </c>
    </row>
    <row r="852" spans="1:69" ht="162" x14ac:dyDescent="0.45">
      <c r="A852" s="5">
        <v>851</v>
      </c>
      <c r="B852" s="6" t="s">
        <v>607</v>
      </c>
      <c r="C852" s="6" t="s">
        <v>6851</v>
      </c>
      <c r="D852" s="7" t="s">
        <v>9794</v>
      </c>
      <c r="E852" s="1" t="s">
        <v>607</v>
      </c>
      <c r="F852" s="1"/>
      <c r="G852" s="1"/>
      <c r="J852" s="1" t="s">
        <v>9795</v>
      </c>
      <c r="K852" s="2" t="s">
        <v>9165</v>
      </c>
      <c r="L852" s="2" t="s">
        <v>9166</v>
      </c>
      <c r="P852" s="7" t="s">
        <v>1241</v>
      </c>
      <c r="Q852" s="13" t="str">
        <f>INDEX($L:$L, MATCH("neuron", $B:$B, 0))</f>
        <v>&lt;span class="w"&gt;&lt;b&gt;【944.neuron：ニューロン】&lt;/b&gt;&lt;/span&gt;
&lt;span class="ml"&gt;ギリシャ語neuron（引き伸ばされたもの, 腱, 筋, 神経）に由来する。
&lt;span class="spacer"&gt;&lt;/span&gt;この語の核は「引き伸ばされた糸」。もともとのギリシャ語では、腱や筋、神経などの身体内部に張りめぐらされた線状構造や、弓や楽器の弦を表していた。そこから近代英語において、神経系の構成単位である「ニューロン」を表す用語として使われるようになった。&lt;/span&gt;</v>
      </c>
      <c r="AU852" s="15"/>
      <c r="AV852" s="1" t="s">
        <v>1502</v>
      </c>
      <c r="BG852" s="7" t="s">
        <v>1503</v>
      </c>
      <c r="BH852" s="1" t="s">
        <v>1947</v>
      </c>
      <c r="BI852" s="2" t="s">
        <v>4732</v>
      </c>
      <c r="BJ852" s="1" t="s">
        <v>1967</v>
      </c>
      <c r="BK852" s="1" t="s">
        <v>4733</v>
      </c>
      <c r="BL852" s="1" t="s">
        <v>1959</v>
      </c>
      <c r="BM852" s="1" t="s">
        <v>4734</v>
      </c>
      <c r="BN852" s="1" t="s">
        <v>1875</v>
      </c>
      <c r="BO852" s="2" t="s">
        <v>4735</v>
      </c>
      <c r="BP852" s="1" t="s">
        <v>1877</v>
      </c>
      <c r="BQ852" s="2" t="s">
        <v>4736</v>
      </c>
    </row>
    <row r="853" spans="1:69" ht="198" x14ac:dyDescent="0.45">
      <c r="A853" s="5">
        <v>852</v>
      </c>
      <c r="B853" s="6" t="s">
        <v>608</v>
      </c>
      <c r="C853" s="6" t="s">
        <v>6851</v>
      </c>
      <c r="D853" s="7" t="s">
        <v>9794</v>
      </c>
      <c r="E853" s="1" t="s">
        <v>27</v>
      </c>
      <c r="F853" s="1" t="s">
        <v>4826</v>
      </c>
      <c r="G853" s="1" t="s">
        <v>1584</v>
      </c>
      <c r="J853" s="1" t="s">
        <v>9795</v>
      </c>
      <c r="L853" s="3" t="s">
        <v>9167</v>
      </c>
      <c r="M853" s="1" t="s">
        <v>12177</v>
      </c>
      <c r="P853" s="7" t="s">
        <v>1241</v>
      </c>
      <c r="Q853" s="13"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853" s="13"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853" s="13"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T853" s="13"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853" s="13"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U853" s="15"/>
      <c r="AV853" s="1" t="s">
        <v>1502</v>
      </c>
      <c r="BG853" s="7" t="s">
        <v>1503</v>
      </c>
      <c r="BH853" s="1" t="s">
        <v>1947</v>
      </c>
      <c r="BI853" s="2" t="s">
        <v>4737</v>
      </c>
      <c r="BJ853" s="1" t="s">
        <v>2036</v>
      </c>
      <c r="BK853" s="2" t="s">
        <v>4738</v>
      </c>
      <c r="BL853" s="1" t="s">
        <v>1959</v>
      </c>
      <c r="BM853" s="2" t="s">
        <v>4739</v>
      </c>
      <c r="BN853" s="1" t="s">
        <v>1875</v>
      </c>
      <c r="BO853" s="2" t="s">
        <v>4740</v>
      </c>
      <c r="BP853" s="1" t="s">
        <v>1877</v>
      </c>
      <c r="BQ853" s="2" t="s">
        <v>4741</v>
      </c>
    </row>
    <row r="854" spans="1:69" ht="198" x14ac:dyDescent="0.45">
      <c r="A854" s="5">
        <v>853</v>
      </c>
      <c r="B854" s="6" t="s">
        <v>609</v>
      </c>
      <c r="C854" s="6" t="s">
        <v>6851</v>
      </c>
      <c r="D854" s="7" t="s">
        <v>9794</v>
      </c>
      <c r="E854" s="1" t="s">
        <v>609</v>
      </c>
      <c r="F854" s="1"/>
      <c r="G854" s="1"/>
      <c r="J854" s="1" t="s">
        <v>9795</v>
      </c>
      <c r="K854" s="1" t="s">
        <v>4742</v>
      </c>
      <c r="L854" s="2" t="s">
        <v>9168</v>
      </c>
      <c r="P854" s="7" t="s">
        <v>1241</v>
      </c>
      <c r="AU854" s="15"/>
      <c r="AV854" s="1" t="s">
        <v>1502</v>
      </c>
      <c r="BG854" s="7" t="s">
        <v>1503</v>
      </c>
      <c r="BH854" s="1" t="s">
        <v>1994</v>
      </c>
      <c r="BI854" s="2" t="s">
        <v>4743</v>
      </c>
      <c r="BJ854" s="1" t="s">
        <v>1996</v>
      </c>
      <c r="BK854" s="2" t="s">
        <v>4744</v>
      </c>
      <c r="BL854" s="1" t="s">
        <v>1877</v>
      </c>
      <c r="BM854" s="2" t="s">
        <v>9169</v>
      </c>
      <c r="BN854" s="1" t="s">
        <v>3497</v>
      </c>
      <c r="BO854" s="2" t="s">
        <v>4745</v>
      </c>
    </row>
    <row r="855" spans="1:69" ht="144" x14ac:dyDescent="0.45">
      <c r="A855" s="5">
        <v>854</v>
      </c>
      <c r="B855" s="6" t="s">
        <v>610</v>
      </c>
      <c r="C855" s="6" t="s">
        <v>6851</v>
      </c>
      <c r="D855" s="7" t="s">
        <v>9794</v>
      </c>
      <c r="E855" s="1" t="s">
        <v>9170</v>
      </c>
      <c r="F855" s="1" t="s">
        <v>1927</v>
      </c>
      <c r="G855" s="1"/>
      <c r="J855" s="1" t="s">
        <v>9795</v>
      </c>
      <c r="K855" s="1" t="s">
        <v>9171</v>
      </c>
      <c r="L855" s="2" t="s">
        <v>9172</v>
      </c>
      <c r="P855" s="7" t="s">
        <v>1241</v>
      </c>
      <c r="AV855" s="1" t="s">
        <v>1502</v>
      </c>
      <c r="BG855" s="7" t="s">
        <v>1503</v>
      </c>
      <c r="BH855" s="1" t="s">
        <v>2036</v>
      </c>
      <c r="BI855" s="1" t="s">
        <v>4746</v>
      </c>
      <c r="BJ855" s="1" t="s">
        <v>1967</v>
      </c>
      <c r="BK855" s="2" t="s">
        <v>9173</v>
      </c>
      <c r="BL855" s="1" t="s">
        <v>1959</v>
      </c>
      <c r="BM855" s="2" t="s">
        <v>4747</v>
      </c>
      <c r="BN855" s="1" t="s">
        <v>1875</v>
      </c>
      <c r="BO855" s="2" t="s">
        <v>4748</v>
      </c>
      <c r="BP855" s="1" t="s">
        <v>1877</v>
      </c>
      <c r="BQ855" s="2" t="s">
        <v>4749</v>
      </c>
    </row>
    <row r="856" spans="1:69" ht="378" x14ac:dyDescent="0.45">
      <c r="A856" s="5" t="s">
        <v>4750</v>
      </c>
      <c r="B856" s="6" t="s">
        <v>611</v>
      </c>
      <c r="C856" s="6" t="s">
        <v>6851</v>
      </c>
      <c r="D856" s="7" t="s">
        <v>9794</v>
      </c>
      <c r="E856" s="1" t="s">
        <v>611</v>
      </c>
      <c r="F856" s="1"/>
      <c r="G856" s="1"/>
      <c r="J856" s="1" t="s">
        <v>9795</v>
      </c>
      <c r="K856" s="2"/>
      <c r="L856" s="2" t="s">
        <v>9174</v>
      </c>
      <c r="P856" s="7" t="s">
        <v>1241</v>
      </c>
      <c r="AV856" s="1" t="s">
        <v>1502</v>
      </c>
      <c r="BG856" s="7" t="s">
        <v>1503</v>
      </c>
      <c r="BH856" s="1" t="s">
        <v>1947</v>
      </c>
      <c r="BI856" s="1" t="s">
        <v>4751</v>
      </c>
      <c r="BJ856" s="1" t="s">
        <v>3250</v>
      </c>
      <c r="BK856" s="1" t="s">
        <v>4752</v>
      </c>
      <c r="BL856" s="1" t="s">
        <v>1875</v>
      </c>
      <c r="BM856" s="2" t="s">
        <v>4753</v>
      </c>
      <c r="BN856" s="1" t="s">
        <v>1877</v>
      </c>
      <c r="BO856" s="2" t="s">
        <v>9175</v>
      </c>
    </row>
    <row r="857" spans="1:69" ht="126" x14ac:dyDescent="0.45">
      <c r="A857" s="5">
        <v>856</v>
      </c>
      <c r="B857" s="6" t="s">
        <v>4754</v>
      </c>
      <c r="C857" s="6" t="s">
        <v>6851</v>
      </c>
      <c r="D857" s="7" t="s">
        <v>9794</v>
      </c>
      <c r="E857" s="1" t="s">
        <v>27</v>
      </c>
      <c r="F857" s="1" t="s">
        <v>4755</v>
      </c>
      <c r="G857" s="1"/>
      <c r="J857" s="1" t="s">
        <v>9795</v>
      </c>
      <c r="K857" s="1" t="s">
        <v>9176</v>
      </c>
      <c r="L857" s="2" t="s">
        <v>9177</v>
      </c>
      <c r="M857" s="1" t="s">
        <v>12246</v>
      </c>
      <c r="P857" s="7" t="s">
        <v>1241</v>
      </c>
      <c r="Q857" s="13"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857" s="13"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S857" s="13"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T857" s="13"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U857" s="13"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AU857" s="15"/>
      <c r="AV857" s="1" t="s">
        <v>1502</v>
      </c>
      <c r="BG857" s="7" t="s">
        <v>1503</v>
      </c>
      <c r="BH857" s="1" t="s">
        <v>1947</v>
      </c>
      <c r="BI857" s="2" t="s">
        <v>4756</v>
      </c>
      <c r="BJ857" s="1" t="s">
        <v>1504</v>
      </c>
      <c r="BK857" s="2" t="s">
        <v>4757</v>
      </c>
      <c r="BL857" s="1" t="s">
        <v>2044</v>
      </c>
      <c r="BM857" s="2" t="s">
        <v>4758</v>
      </c>
      <c r="BN857" s="1" t="s">
        <v>1883</v>
      </c>
      <c r="BO857" s="2" t="s">
        <v>4759</v>
      </c>
    </row>
    <row r="858" spans="1:69" ht="234" x14ac:dyDescent="0.45">
      <c r="A858" s="5">
        <v>857</v>
      </c>
      <c r="B858" s="8" t="s">
        <v>4760</v>
      </c>
      <c r="C858" s="6" t="s">
        <v>6851</v>
      </c>
      <c r="D858" s="7" t="s">
        <v>9794</v>
      </c>
      <c r="E858" s="1" t="s">
        <v>9036</v>
      </c>
      <c r="F858" s="1"/>
      <c r="G858" s="1"/>
      <c r="J858" s="1" t="s">
        <v>9795</v>
      </c>
      <c r="L858" s="2" t="s">
        <v>9178</v>
      </c>
      <c r="P858" s="7" t="s">
        <v>1241</v>
      </c>
      <c r="Q858" s="13" t="str">
        <f>INDEX($L:$L, MATCH("confidence", $B:$B, 0))</f>
        <v>&lt;span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v>
      </c>
      <c r="R858" s="13" t="str">
        <f>INDEX($L:$L, MATCH("federal", $B:$B, 0))</f>
        <v>&lt;span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v>
      </c>
      <c r="AU858" s="15"/>
      <c r="AV858" s="1" t="s">
        <v>1502</v>
      </c>
      <c r="BG858" s="7" t="s">
        <v>1503</v>
      </c>
      <c r="BH858" s="1" t="s">
        <v>1947</v>
      </c>
      <c r="BI858" s="2" t="s">
        <v>4761</v>
      </c>
      <c r="BJ858" s="1" t="s">
        <v>1504</v>
      </c>
      <c r="BK858" s="2" t="s">
        <v>4762</v>
      </c>
      <c r="BL858" s="1" t="s">
        <v>2044</v>
      </c>
      <c r="BM858" s="2" t="s">
        <v>4763</v>
      </c>
    </row>
    <row r="859" spans="1:69" ht="180" x14ac:dyDescent="0.45">
      <c r="A859" s="5">
        <v>858</v>
      </c>
      <c r="B859" s="6" t="s">
        <v>1260</v>
      </c>
      <c r="C859" s="6" t="s">
        <v>6851</v>
      </c>
      <c r="D859" s="7" t="s">
        <v>9794</v>
      </c>
      <c r="E859" s="1" t="s">
        <v>1935</v>
      </c>
      <c r="F859" s="1" t="s">
        <v>1748</v>
      </c>
      <c r="G859" s="1"/>
      <c r="J859" s="1" t="s">
        <v>9795</v>
      </c>
      <c r="L859" s="2" t="s">
        <v>9256</v>
      </c>
      <c r="M859" s="1" t="s">
        <v>12179</v>
      </c>
      <c r="P859" s="7" t="s">
        <v>1241</v>
      </c>
      <c r="Q859" s="13"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R859" s="13"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S859" s="13"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T859" s="13"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AV859" s="1" t="s">
        <v>1502</v>
      </c>
      <c r="BG859" s="7" t="s">
        <v>1503</v>
      </c>
      <c r="BH859" s="1" t="s">
        <v>1976</v>
      </c>
      <c r="BI859" s="1" t="s">
        <v>2024</v>
      </c>
      <c r="BJ859" s="1" t="s">
        <v>1947</v>
      </c>
      <c r="BK859" s="1" t="s">
        <v>2025</v>
      </c>
      <c r="BL859" s="1" t="s">
        <v>2026</v>
      </c>
      <c r="BM859" s="2" t="s">
        <v>2027</v>
      </c>
      <c r="BN859" s="1" t="s">
        <v>1959</v>
      </c>
      <c r="BO859" s="2" t="s">
        <v>4764</v>
      </c>
      <c r="BP859" s="1" t="s">
        <v>2044</v>
      </c>
      <c r="BQ859" s="2" t="s">
        <v>4765</v>
      </c>
    </row>
    <row r="860" spans="1:69" ht="180" x14ac:dyDescent="0.45">
      <c r="A860" s="5">
        <v>859</v>
      </c>
      <c r="B860" s="6" t="s">
        <v>4766</v>
      </c>
      <c r="C860" s="6" t="s">
        <v>6851</v>
      </c>
      <c r="D860" s="7" t="s">
        <v>9794</v>
      </c>
      <c r="E860" s="1" t="s">
        <v>27</v>
      </c>
      <c r="F860" s="1" t="s">
        <v>8913</v>
      </c>
      <c r="G860" s="1" t="s">
        <v>1528</v>
      </c>
      <c r="J860" s="1" t="s">
        <v>9795</v>
      </c>
      <c r="K860" s="1" t="s">
        <v>9179</v>
      </c>
      <c r="L860" s="2" t="s">
        <v>9180</v>
      </c>
      <c r="P860" s="7" t="s">
        <v>1241</v>
      </c>
      <c r="AU860" s="15"/>
      <c r="AV860" s="1" t="s">
        <v>1502</v>
      </c>
      <c r="BG860" s="7" t="s">
        <v>1503</v>
      </c>
      <c r="BH860" s="1" t="s">
        <v>1947</v>
      </c>
      <c r="BI860" s="2" t="s">
        <v>9181</v>
      </c>
      <c r="BJ860" s="1" t="s">
        <v>2147</v>
      </c>
      <c r="BK860" s="2" t="s">
        <v>9182</v>
      </c>
      <c r="BL860" s="1" t="s">
        <v>2044</v>
      </c>
      <c r="BM860" s="2" t="s">
        <v>9183</v>
      </c>
      <c r="BN860" s="1" t="s">
        <v>4072</v>
      </c>
      <c r="BO860" s="2" t="s">
        <v>4767</v>
      </c>
    </row>
    <row r="861" spans="1:69" ht="144" x14ac:dyDescent="0.45">
      <c r="A861" s="5">
        <v>860</v>
      </c>
      <c r="B861" s="8" t="s">
        <v>4768</v>
      </c>
      <c r="C861" s="6" t="s">
        <v>6851</v>
      </c>
      <c r="D861" s="7" t="s">
        <v>9794</v>
      </c>
      <c r="E861" s="1" t="s">
        <v>31</v>
      </c>
      <c r="F861" s="1" t="s">
        <v>4769</v>
      </c>
      <c r="G861" s="1"/>
      <c r="J861" s="1" t="s">
        <v>9795</v>
      </c>
      <c r="K861" s="1" t="s">
        <v>7313</v>
      </c>
      <c r="L861" s="2" t="s">
        <v>9184</v>
      </c>
      <c r="M861" s="1" t="s">
        <v>12189</v>
      </c>
      <c r="P861" s="7" t="s">
        <v>1241</v>
      </c>
      <c r="Q861"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861"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861" s="13"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861"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U861"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V861"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861" s="13"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861"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861" s="13"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861"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861" s="15"/>
      <c r="AV861" s="1" t="s">
        <v>1502</v>
      </c>
      <c r="BG861" s="7" t="s">
        <v>1503</v>
      </c>
      <c r="BH861" s="1" t="s">
        <v>1947</v>
      </c>
      <c r="BI861" s="2" t="s">
        <v>4770</v>
      </c>
      <c r="BJ861" s="1" t="s">
        <v>2044</v>
      </c>
      <c r="BK861" s="2" t="s">
        <v>4771</v>
      </c>
      <c r="BL861" s="1" t="s">
        <v>1883</v>
      </c>
      <c r="BM861" s="2" t="s">
        <v>4772</v>
      </c>
      <c r="BN861" s="1" t="s">
        <v>4072</v>
      </c>
      <c r="BO861" s="2" t="s">
        <v>4773</v>
      </c>
    </row>
    <row r="862" spans="1:69" ht="144" x14ac:dyDescent="0.45">
      <c r="A862" s="5">
        <v>861</v>
      </c>
      <c r="B862" s="8" t="s">
        <v>4774</v>
      </c>
      <c r="C862" s="6" t="s">
        <v>6851</v>
      </c>
      <c r="D862" s="7" t="s">
        <v>9794</v>
      </c>
      <c r="E862" s="1" t="s">
        <v>1397</v>
      </c>
      <c r="F862" s="1" t="s">
        <v>8926</v>
      </c>
      <c r="G862" s="1" t="s">
        <v>3162</v>
      </c>
      <c r="J862" s="1" t="s">
        <v>9795</v>
      </c>
      <c r="L862" s="3" t="s">
        <v>9185</v>
      </c>
      <c r="P862" s="7" t="s">
        <v>1241</v>
      </c>
      <c r="Q862"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862"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862"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862"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862"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862"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862"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862"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862"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862"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862"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B862"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C862"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D862"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E862"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862" s="15"/>
      <c r="AV862" s="1" t="s">
        <v>1502</v>
      </c>
      <c r="BG862" s="7" t="s">
        <v>1503</v>
      </c>
      <c r="BH862" s="1" t="s">
        <v>1947</v>
      </c>
      <c r="BI862" s="2" t="s">
        <v>9186</v>
      </c>
      <c r="BJ862" s="1" t="s">
        <v>1504</v>
      </c>
      <c r="BK862" s="2" t="s">
        <v>4775</v>
      </c>
      <c r="BL862" s="1" t="s">
        <v>2044</v>
      </c>
      <c r="BM862" s="2" t="s">
        <v>4776</v>
      </c>
    </row>
    <row r="863" spans="1:69" ht="144" x14ac:dyDescent="0.45">
      <c r="A863" s="5">
        <v>862</v>
      </c>
      <c r="B863" s="6" t="s">
        <v>4777</v>
      </c>
      <c r="C863" s="6" t="s">
        <v>6851</v>
      </c>
      <c r="D863" s="7" t="s">
        <v>9794</v>
      </c>
      <c r="E863" s="1" t="s">
        <v>4778</v>
      </c>
      <c r="F863" s="1" t="s">
        <v>1826</v>
      </c>
      <c r="G863" s="1" t="s">
        <v>1525</v>
      </c>
      <c r="J863" s="1" t="s">
        <v>9795</v>
      </c>
      <c r="L863" s="2" t="s">
        <v>9187</v>
      </c>
      <c r="P863" s="7" t="s">
        <v>1241</v>
      </c>
      <c r="AU863" s="15"/>
      <c r="AV863" s="1" t="s">
        <v>1502</v>
      </c>
      <c r="BG863" s="7" t="s">
        <v>1503</v>
      </c>
      <c r="BH863" s="1" t="s">
        <v>2458</v>
      </c>
      <c r="BI863" s="2" t="s">
        <v>4779</v>
      </c>
      <c r="BJ863" s="1" t="s">
        <v>2034</v>
      </c>
      <c r="BK863" s="2" t="s">
        <v>4780</v>
      </c>
      <c r="BL863" s="1" t="s">
        <v>2017</v>
      </c>
      <c r="BM863" s="1" t="s">
        <v>4777</v>
      </c>
      <c r="BN863" s="1" t="s">
        <v>1883</v>
      </c>
      <c r="BO863" s="2" t="s">
        <v>4781</v>
      </c>
    </row>
    <row r="864" spans="1:69" ht="162" x14ac:dyDescent="0.45">
      <c r="A864" s="5">
        <v>863</v>
      </c>
      <c r="B864" s="6" t="s">
        <v>4782</v>
      </c>
      <c r="C864" s="6" t="s">
        <v>6851</v>
      </c>
      <c r="D864" s="7" t="s">
        <v>9794</v>
      </c>
      <c r="E864" s="1" t="s">
        <v>612</v>
      </c>
      <c r="F864" s="1"/>
      <c r="G864" s="1"/>
      <c r="J864" s="1" t="s">
        <v>9795</v>
      </c>
      <c r="L864" s="2" t="s">
        <v>9188</v>
      </c>
      <c r="P864" s="7" t="s">
        <v>1241</v>
      </c>
      <c r="AV864" s="1" t="s">
        <v>1502</v>
      </c>
      <c r="BG864" s="7" t="s">
        <v>1503</v>
      </c>
      <c r="BH864" s="1" t="s">
        <v>2254</v>
      </c>
      <c r="BI864" s="1" t="s">
        <v>4783</v>
      </c>
      <c r="BJ864" s="1" t="s">
        <v>2129</v>
      </c>
      <c r="BK864" s="1" t="s">
        <v>9189</v>
      </c>
      <c r="BL864" s="1" t="s">
        <v>2044</v>
      </c>
      <c r="BM864" s="1" t="s">
        <v>4784</v>
      </c>
      <c r="BN864" s="1" t="s">
        <v>1883</v>
      </c>
      <c r="BO864" s="2" t="s">
        <v>4785</v>
      </c>
    </row>
    <row r="865" spans="1:69" ht="198" x14ac:dyDescent="0.45">
      <c r="A865" s="5">
        <v>864</v>
      </c>
      <c r="B865" s="6" t="s">
        <v>4786</v>
      </c>
      <c r="C865" s="6" t="s">
        <v>6851</v>
      </c>
      <c r="D865" s="7" t="s">
        <v>9794</v>
      </c>
      <c r="E865" s="1" t="s">
        <v>1607</v>
      </c>
      <c r="F865" s="1" t="s">
        <v>9037</v>
      </c>
      <c r="G865" s="1" t="s">
        <v>1584</v>
      </c>
      <c r="J865" s="1" t="s">
        <v>9795</v>
      </c>
      <c r="K865" s="2" t="s">
        <v>9190</v>
      </c>
      <c r="L865" s="2" t="s">
        <v>9191</v>
      </c>
      <c r="P865" s="7" t="s">
        <v>1241</v>
      </c>
      <c r="AU865" s="15"/>
      <c r="AV865" s="1" t="s">
        <v>1502</v>
      </c>
      <c r="BG865" s="7" t="s">
        <v>1503</v>
      </c>
      <c r="BH865" s="1" t="s">
        <v>1947</v>
      </c>
      <c r="BI865" s="2" t="s">
        <v>4787</v>
      </c>
      <c r="BJ865" s="1" t="s">
        <v>4788</v>
      </c>
      <c r="BK865" s="2" t="s">
        <v>4789</v>
      </c>
      <c r="BL865" s="1" t="s">
        <v>1504</v>
      </c>
      <c r="BM865" s="2" t="s">
        <v>4790</v>
      </c>
      <c r="BN865" s="1" t="s">
        <v>2044</v>
      </c>
      <c r="BO865" s="2" t="s">
        <v>4791</v>
      </c>
    </row>
    <row r="866" spans="1:69" ht="162" x14ac:dyDescent="0.45">
      <c r="A866" s="5">
        <v>865</v>
      </c>
      <c r="B866" s="8" t="s">
        <v>4792</v>
      </c>
      <c r="C866" s="6" t="s">
        <v>6851</v>
      </c>
      <c r="D866" s="7" t="s">
        <v>9794</v>
      </c>
      <c r="E866" s="1" t="s">
        <v>1505</v>
      </c>
      <c r="F866" s="1" t="s">
        <v>9192</v>
      </c>
      <c r="G866" s="1" t="s">
        <v>1584</v>
      </c>
      <c r="J866" s="1" t="s">
        <v>9795</v>
      </c>
      <c r="L866" s="3" t="s">
        <v>9193</v>
      </c>
      <c r="M866" s="1" t="s">
        <v>12172</v>
      </c>
      <c r="P866" s="7" t="s">
        <v>1241</v>
      </c>
      <c r="Q866" s="13" t="str">
        <f>INDEX($L:$L, MATCH("concern", $B:$B, 0))</f>
        <v>&lt;span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v>
      </c>
      <c r="R866" s="13" t="str">
        <f>INDEX($L:$L, MATCH("certain", $B:$B, 0))</f>
        <v>&lt;span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v>
      </c>
      <c r="AU866" s="15"/>
      <c r="AV866" s="1" t="s">
        <v>1502</v>
      </c>
      <c r="BG866" s="7" t="s">
        <v>1503</v>
      </c>
      <c r="BH866" s="1" t="s">
        <v>1947</v>
      </c>
      <c r="BI866" s="2" t="s">
        <v>4793</v>
      </c>
      <c r="BJ866" s="1" t="s">
        <v>2147</v>
      </c>
      <c r="BK866" s="2" t="s">
        <v>4794</v>
      </c>
      <c r="BL866" s="1" t="s">
        <v>1883</v>
      </c>
      <c r="BM866" s="2" t="s">
        <v>4795</v>
      </c>
    </row>
    <row r="867" spans="1:69" ht="54" x14ac:dyDescent="0.45">
      <c r="A867" s="5">
        <v>866</v>
      </c>
      <c r="B867" s="6" t="s">
        <v>613</v>
      </c>
      <c r="C867" s="6" t="s">
        <v>6851</v>
      </c>
      <c r="D867" s="7" t="s">
        <v>9794</v>
      </c>
      <c r="E867" s="1" t="s">
        <v>613</v>
      </c>
      <c r="F867" s="1"/>
      <c r="G867" s="1"/>
      <c r="J867" s="1" t="s">
        <v>9795</v>
      </c>
      <c r="K867" s="1" t="s">
        <v>4796</v>
      </c>
      <c r="L867" s="2" t="s">
        <v>8556</v>
      </c>
      <c r="P867" s="7" t="s">
        <v>1241</v>
      </c>
      <c r="Q867" s="13" t="str">
        <f>INDEX($L:$L, MATCH("ashamed", $B:$B, 0))</f>
        <v>&lt;span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v>
      </c>
      <c r="AV867" s="1" t="s">
        <v>1502</v>
      </c>
      <c r="BG867" s="7" t="s">
        <v>1503</v>
      </c>
      <c r="BH867" s="1" t="s">
        <v>1872</v>
      </c>
      <c r="BI867" s="1" t="s">
        <v>4797</v>
      </c>
      <c r="BJ867" s="1" t="s">
        <v>1875</v>
      </c>
      <c r="BK867" s="2" t="s">
        <v>4798</v>
      </c>
      <c r="BL867" s="1" t="s">
        <v>1877</v>
      </c>
      <c r="BM867" s="2" t="s">
        <v>4799</v>
      </c>
    </row>
    <row r="868" spans="1:69" ht="144" x14ac:dyDescent="0.45">
      <c r="A868" s="5">
        <v>867</v>
      </c>
      <c r="B868" s="6" t="s">
        <v>614</v>
      </c>
      <c r="C868" s="6" t="s">
        <v>6851</v>
      </c>
      <c r="D868" s="7" t="s">
        <v>9794</v>
      </c>
      <c r="E868" s="1" t="s">
        <v>4800</v>
      </c>
      <c r="F868" s="1" t="s">
        <v>4801</v>
      </c>
      <c r="G868" s="1"/>
      <c r="J868" s="1" t="s">
        <v>9795</v>
      </c>
      <c r="K868" s="2" t="s">
        <v>9194</v>
      </c>
      <c r="L868" s="2" t="s">
        <v>9195</v>
      </c>
      <c r="P868" s="7" t="s">
        <v>1241</v>
      </c>
      <c r="AU868" s="15"/>
      <c r="AV868" s="1" t="s">
        <v>1502</v>
      </c>
      <c r="BG868" s="7" t="s">
        <v>1503</v>
      </c>
      <c r="BH868" s="1" t="s">
        <v>4000</v>
      </c>
      <c r="BI868" s="2" t="s">
        <v>4802</v>
      </c>
      <c r="BJ868" s="1" t="s">
        <v>1872</v>
      </c>
      <c r="BK868" s="1" t="s">
        <v>4803</v>
      </c>
    </row>
    <row r="869" spans="1:69" ht="108" x14ac:dyDescent="0.45">
      <c r="A869" s="5">
        <v>868</v>
      </c>
      <c r="B869" s="6" t="s">
        <v>615</v>
      </c>
      <c r="C869" s="6" t="s">
        <v>6851</v>
      </c>
      <c r="D869" s="7" t="s">
        <v>9794</v>
      </c>
      <c r="E869" s="1" t="s">
        <v>615</v>
      </c>
      <c r="F869" s="1"/>
      <c r="G869" s="1"/>
      <c r="J869" s="1" t="s">
        <v>9795</v>
      </c>
      <c r="L869" s="2" t="s">
        <v>9196</v>
      </c>
      <c r="P869" s="7" t="s">
        <v>1241</v>
      </c>
      <c r="AV869" s="1" t="s">
        <v>1502</v>
      </c>
      <c r="BG869" s="7" t="s">
        <v>1503</v>
      </c>
      <c r="BH869" s="1" t="s">
        <v>1947</v>
      </c>
      <c r="BI869" s="1" t="s">
        <v>4804</v>
      </c>
      <c r="BJ869" s="1" t="s">
        <v>2026</v>
      </c>
      <c r="BK869" s="2" t="s">
        <v>4805</v>
      </c>
      <c r="BL869" s="1" t="s">
        <v>1959</v>
      </c>
      <c r="BM869" s="1" t="s">
        <v>4806</v>
      </c>
      <c r="BN869" s="1" t="s">
        <v>1875</v>
      </c>
      <c r="BO869" s="2" t="s">
        <v>4807</v>
      </c>
      <c r="BP869" s="1" t="s">
        <v>1877</v>
      </c>
      <c r="BQ869" s="2" t="s">
        <v>4808</v>
      </c>
    </row>
    <row r="870" spans="1:69" ht="126" x14ac:dyDescent="0.45">
      <c r="A870" s="5">
        <v>869</v>
      </c>
      <c r="B870" s="8" t="s">
        <v>4809</v>
      </c>
      <c r="C870" s="6" t="s">
        <v>6851</v>
      </c>
      <c r="D870" s="7" t="s">
        <v>9794</v>
      </c>
      <c r="E870" s="1" t="s">
        <v>1726</v>
      </c>
      <c r="F870" s="1" t="s">
        <v>1584</v>
      </c>
      <c r="G870" s="1"/>
      <c r="J870" s="1" t="s">
        <v>9795</v>
      </c>
      <c r="K870" s="2" t="s">
        <v>9197</v>
      </c>
      <c r="L870" s="2" t="s">
        <v>9198</v>
      </c>
      <c r="P870" s="7" t="s">
        <v>1241</v>
      </c>
      <c r="Q870" s="13"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870"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S870" s="13"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T870" s="13"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U870"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870"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AV870" s="1" t="s">
        <v>1502</v>
      </c>
      <c r="BG870" s="7" t="s">
        <v>1503</v>
      </c>
      <c r="BH870" s="1" t="s">
        <v>1947</v>
      </c>
      <c r="BI870" s="1" t="s">
        <v>4810</v>
      </c>
      <c r="BJ870" s="1" t="s">
        <v>1959</v>
      </c>
      <c r="BK870" s="2" t="s">
        <v>4811</v>
      </c>
      <c r="BL870" s="1" t="s">
        <v>1875</v>
      </c>
      <c r="BM870" s="2" t="s">
        <v>4812</v>
      </c>
    </row>
    <row r="871" spans="1:69" ht="180" x14ac:dyDescent="0.45">
      <c r="A871" s="5">
        <v>870</v>
      </c>
      <c r="B871" s="8" t="s">
        <v>616</v>
      </c>
      <c r="C871" s="6" t="s">
        <v>6851</v>
      </c>
      <c r="D871" s="7" t="s">
        <v>9794</v>
      </c>
      <c r="E871" s="1" t="s">
        <v>1251</v>
      </c>
      <c r="F871" s="1" t="s">
        <v>4813</v>
      </c>
      <c r="G871" s="1"/>
      <c r="J871" s="1" t="s">
        <v>9795</v>
      </c>
      <c r="K871" s="2" t="s">
        <v>9199</v>
      </c>
      <c r="L871" s="2" t="s">
        <v>9200</v>
      </c>
      <c r="M871" s="1" t="s">
        <v>12235</v>
      </c>
      <c r="P871" s="7" t="s">
        <v>1241</v>
      </c>
      <c r="Q871" s="1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871" s="1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S871" s="13"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T871" s="13"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U871" s="15"/>
      <c r="AV871" s="1" t="s">
        <v>1502</v>
      </c>
      <c r="BG871" s="7" t="s">
        <v>1503</v>
      </c>
      <c r="BH871" s="1" t="s">
        <v>1947</v>
      </c>
      <c r="BI871" s="2" t="s">
        <v>9201</v>
      </c>
      <c r="BJ871" s="1" t="s">
        <v>1996</v>
      </c>
      <c r="BK871" s="2" t="s">
        <v>4814</v>
      </c>
      <c r="BL871" s="1" t="s">
        <v>1877</v>
      </c>
      <c r="BM871" s="2" t="s">
        <v>4815</v>
      </c>
    </row>
    <row r="872" spans="1:69" ht="108" x14ac:dyDescent="0.45">
      <c r="A872" s="5">
        <v>871</v>
      </c>
      <c r="B872" s="6" t="s">
        <v>617</v>
      </c>
      <c r="C872" s="6" t="s">
        <v>6851</v>
      </c>
      <c r="D872" s="7" t="s">
        <v>9794</v>
      </c>
      <c r="E872" s="1" t="s">
        <v>9202</v>
      </c>
      <c r="F872" s="1" t="s">
        <v>1927</v>
      </c>
      <c r="G872" s="1"/>
      <c r="J872" s="1" t="s">
        <v>9795</v>
      </c>
      <c r="L872" s="2" t="s">
        <v>9203</v>
      </c>
      <c r="P872" s="7" t="s">
        <v>1241</v>
      </c>
      <c r="AU872" s="15"/>
      <c r="AV872" s="1" t="s">
        <v>1502</v>
      </c>
      <c r="BG872" s="7" t="s">
        <v>1503</v>
      </c>
      <c r="BH872" s="1" t="s">
        <v>1947</v>
      </c>
      <c r="BI872" s="2" t="s">
        <v>9204</v>
      </c>
      <c r="BJ872" s="1" t="s">
        <v>1959</v>
      </c>
      <c r="BK872" s="1" t="s">
        <v>4816</v>
      </c>
      <c r="BL872" s="1" t="s">
        <v>1877</v>
      </c>
      <c r="BM872" s="2" t="s">
        <v>4817</v>
      </c>
    </row>
    <row r="873" spans="1:69" ht="90" x14ac:dyDescent="0.45">
      <c r="A873" s="5">
        <v>872</v>
      </c>
      <c r="B873" s="6" t="s">
        <v>618</v>
      </c>
      <c r="C873" s="6" t="s">
        <v>6851</v>
      </c>
      <c r="D873" s="7" t="s">
        <v>9794</v>
      </c>
      <c r="E873" s="1" t="s">
        <v>618</v>
      </c>
      <c r="F873" s="1"/>
      <c r="G873" s="1"/>
      <c r="J873" s="1" t="s">
        <v>9795</v>
      </c>
      <c r="L873" s="2" t="s">
        <v>9205</v>
      </c>
      <c r="P873" s="7" t="s">
        <v>1241</v>
      </c>
      <c r="AV873" s="1" t="s">
        <v>1502</v>
      </c>
      <c r="BG873" s="7" t="s">
        <v>1503</v>
      </c>
      <c r="BH873" s="1" t="s">
        <v>1872</v>
      </c>
      <c r="BI873" s="1" t="s">
        <v>4818</v>
      </c>
      <c r="BJ873" s="1" t="s">
        <v>1877</v>
      </c>
      <c r="BK873" s="2" t="s">
        <v>4819</v>
      </c>
      <c r="BL873" s="1" t="s">
        <v>3497</v>
      </c>
      <c r="BM873" s="2" t="s">
        <v>4820</v>
      </c>
    </row>
    <row r="874" spans="1:69" ht="126" x14ac:dyDescent="0.45">
      <c r="A874" s="5">
        <v>873</v>
      </c>
      <c r="B874" s="6" t="s">
        <v>619</v>
      </c>
      <c r="C874" s="6" t="s">
        <v>6851</v>
      </c>
      <c r="D874" s="7" t="s">
        <v>9794</v>
      </c>
      <c r="E874" s="1" t="s">
        <v>4821</v>
      </c>
      <c r="F874" s="1" t="s">
        <v>49</v>
      </c>
      <c r="G874" s="1"/>
      <c r="J874" s="1" t="s">
        <v>9795</v>
      </c>
      <c r="L874" s="2" t="s">
        <v>9206</v>
      </c>
      <c r="P874" s="7" t="s">
        <v>1241</v>
      </c>
      <c r="AU874" s="15"/>
      <c r="AV874" s="1" t="s">
        <v>1502</v>
      </c>
      <c r="BG874" s="7" t="s">
        <v>1503</v>
      </c>
      <c r="BH874" s="1" t="s">
        <v>1947</v>
      </c>
      <c r="BI874" s="2" t="s">
        <v>4822</v>
      </c>
      <c r="BJ874" s="1" t="s">
        <v>1996</v>
      </c>
      <c r="BK874" s="1" t="s">
        <v>619</v>
      </c>
      <c r="BL874" s="1" t="s">
        <v>1877</v>
      </c>
      <c r="BM874" s="2" t="s">
        <v>4823</v>
      </c>
    </row>
    <row r="875" spans="1:69" ht="126" x14ac:dyDescent="0.45">
      <c r="A875" s="5">
        <v>874</v>
      </c>
      <c r="B875" s="6" t="s">
        <v>620</v>
      </c>
      <c r="C875" s="6" t="s">
        <v>6851</v>
      </c>
      <c r="D875" s="7" t="s">
        <v>9794</v>
      </c>
      <c r="E875" s="1" t="s">
        <v>620</v>
      </c>
      <c r="F875" s="1"/>
      <c r="G875" s="1"/>
      <c r="J875" s="1" t="s">
        <v>9795</v>
      </c>
      <c r="L875" s="2" t="s">
        <v>10504</v>
      </c>
      <c r="P875" s="7" t="s">
        <v>1241</v>
      </c>
      <c r="AV875" s="1" t="s">
        <v>1502</v>
      </c>
      <c r="BG875" s="7" t="s">
        <v>1503</v>
      </c>
      <c r="BH875" s="1" t="s">
        <v>1872</v>
      </c>
      <c r="BI875" s="1" t="s">
        <v>4824</v>
      </c>
      <c r="BJ875" s="1" t="s">
        <v>1875</v>
      </c>
      <c r="BK875" s="2" t="s">
        <v>4825</v>
      </c>
    </row>
    <row r="876" spans="1:69" ht="144" x14ac:dyDescent="0.45">
      <c r="A876" s="5">
        <v>875</v>
      </c>
      <c r="B876" s="6" t="s">
        <v>621</v>
      </c>
      <c r="C876" s="6" t="s">
        <v>6851</v>
      </c>
      <c r="D876" s="7" t="s">
        <v>9794</v>
      </c>
      <c r="E876" s="1" t="s">
        <v>1338</v>
      </c>
      <c r="F876" s="1" t="s">
        <v>4826</v>
      </c>
      <c r="G876" s="1" t="s">
        <v>1525</v>
      </c>
      <c r="J876" s="1" t="s">
        <v>9795</v>
      </c>
      <c r="L876" s="2" t="s">
        <v>9207</v>
      </c>
      <c r="P876" s="7" t="s">
        <v>1241</v>
      </c>
      <c r="AU876" s="15"/>
      <c r="AV876" s="1" t="s">
        <v>1502</v>
      </c>
      <c r="BG876" s="7" t="s">
        <v>1503</v>
      </c>
      <c r="BH876" s="1" t="s">
        <v>1947</v>
      </c>
      <c r="BI876" s="2" t="s">
        <v>4827</v>
      </c>
      <c r="BJ876" s="1" t="s">
        <v>1959</v>
      </c>
      <c r="BK876" s="2" t="s">
        <v>4828</v>
      </c>
      <c r="BL876" s="1" t="s">
        <v>1875</v>
      </c>
      <c r="BM876" s="2" t="s">
        <v>4829</v>
      </c>
      <c r="BN876" s="1" t="s">
        <v>1877</v>
      </c>
      <c r="BO876" s="2" t="s">
        <v>4830</v>
      </c>
    </row>
    <row r="877" spans="1:69" ht="144" x14ac:dyDescent="0.45">
      <c r="A877" s="5">
        <v>876</v>
      </c>
      <c r="B877" s="6" t="s">
        <v>622</v>
      </c>
      <c r="C877" s="6" t="s">
        <v>6851</v>
      </c>
      <c r="D877" s="7" t="s">
        <v>9794</v>
      </c>
      <c r="E877" s="1" t="s">
        <v>9208</v>
      </c>
      <c r="F877" s="1" t="s">
        <v>9209</v>
      </c>
      <c r="G877" s="1"/>
      <c r="J877" s="1" t="s">
        <v>9795</v>
      </c>
      <c r="L877" s="2" t="s">
        <v>9210</v>
      </c>
      <c r="P877" s="7" t="s">
        <v>1241</v>
      </c>
      <c r="AU877" s="15"/>
      <c r="AV877" s="1" t="s">
        <v>1502</v>
      </c>
      <c r="BG877" s="7" t="s">
        <v>1503</v>
      </c>
      <c r="BH877" s="1" t="s">
        <v>1976</v>
      </c>
      <c r="BI877" s="2" t="s">
        <v>9211</v>
      </c>
      <c r="BJ877" s="1" t="s">
        <v>1947</v>
      </c>
      <c r="BK877" s="2" t="s">
        <v>9212</v>
      </c>
      <c r="BL877" s="1" t="s">
        <v>3250</v>
      </c>
      <c r="BM877" s="1" t="s">
        <v>4831</v>
      </c>
      <c r="BN877" s="1" t="s">
        <v>2114</v>
      </c>
      <c r="BO877" s="1" t="s">
        <v>4832</v>
      </c>
      <c r="BP877" s="1" t="s">
        <v>1875</v>
      </c>
      <c r="BQ877" s="2" t="s">
        <v>4833</v>
      </c>
    </row>
    <row r="878" spans="1:69" ht="306" x14ac:dyDescent="0.45">
      <c r="A878" s="5">
        <v>877</v>
      </c>
      <c r="B878" s="8" t="s">
        <v>623</v>
      </c>
      <c r="C878" s="6" t="s">
        <v>6851</v>
      </c>
      <c r="D878" s="7" t="s">
        <v>9794</v>
      </c>
      <c r="E878" s="1" t="s">
        <v>1459</v>
      </c>
      <c r="F878" s="1" t="s">
        <v>1913</v>
      </c>
      <c r="G878" s="1" t="s">
        <v>9213</v>
      </c>
      <c r="H878" s="1" t="s">
        <v>1584</v>
      </c>
      <c r="J878" s="1" t="s">
        <v>9795</v>
      </c>
      <c r="K878" s="2" t="s">
        <v>9214</v>
      </c>
      <c r="L878" s="3" t="s">
        <v>9215</v>
      </c>
      <c r="M878" s="1" t="s">
        <v>12264</v>
      </c>
      <c r="P878" s="7" t="s">
        <v>1241</v>
      </c>
      <c r="Q878" s="13"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R878" s="13"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S878" s="13"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T878" s="13"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U878" s="15"/>
      <c r="AV878" s="1" t="s">
        <v>1502</v>
      </c>
      <c r="BG878" s="7" t="s">
        <v>1503</v>
      </c>
      <c r="BH878" s="1" t="s">
        <v>1947</v>
      </c>
      <c r="BI878" s="2" t="s">
        <v>9216</v>
      </c>
      <c r="BJ878" s="1" t="s">
        <v>1875</v>
      </c>
      <c r="BK878" s="2" t="s">
        <v>4834</v>
      </c>
      <c r="BL878" s="1" t="s">
        <v>1877</v>
      </c>
      <c r="BM878" s="2" t="s">
        <v>4835</v>
      </c>
    </row>
    <row r="879" spans="1:69" ht="144" x14ac:dyDescent="0.45">
      <c r="A879" s="5">
        <v>878</v>
      </c>
      <c r="B879" s="8" t="s">
        <v>624</v>
      </c>
      <c r="C879" s="6" t="s">
        <v>6851</v>
      </c>
      <c r="D879" s="7" t="s">
        <v>9794</v>
      </c>
      <c r="E879" s="1" t="s">
        <v>4836</v>
      </c>
      <c r="F879" s="1" t="s">
        <v>4837</v>
      </c>
      <c r="G879" s="1"/>
      <c r="J879" s="1" t="s">
        <v>9795</v>
      </c>
      <c r="L879" s="3" t="s">
        <v>9217</v>
      </c>
      <c r="M879" s="1" t="s">
        <v>12204</v>
      </c>
      <c r="P879" s="7" t="s">
        <v>1241</v>
      </c>
      <c r="Q879" s="13"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879" s="13"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879" s="13"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AU879" s="15"/>
      <c r="AV879" s="1" t="s">
        <v>1502</v>
      </c>
      <c r="BG879" s="7" t="s">
        <v>1503</v>
      </c>
      <c r="BH879" s="1" t="s">
        <v>1976</v>
      </c>
      <c r="BI879" s="2" t="s">
        <v>5424</v>
      </c>
      <c r="BJ879" s="1" t="s">
        <v>1947</v>
      </c>
      <c r="BK879" s="2" t="s">
        <v>9218</v>
      </c>
      <c r="BL879" s="1" t="s">
        <v>3408</v>
      </c>
      <c r="BM879" s="1" t="s">
        <v>4838</v>
      </c>
      <c r="BN879" s="1" t="s">
        <v>1877</v>
      </c>
      <c r="BO879" s="2" t="s">
        <v>4839</v>
      </c>
    </row>
    <row r="880" spans="1:69" ht="108" x14ac:dyDescent="0.45">
      <c r="A880" s="5">
        <v>879</v>
      </c>
      <c r="B880" s="8" t="s">
        <v>625</v>
      </c>
      <c r="C880" s="6" t="s">
        <v>6852</v>
      </c>
      <c r="D880" s="7" t="s">
        <v>9794</v>
      </c>
      <c r="E880" s="1" t="s">
        <v>4840</v>
      </c>
      <c r="F880" s="1" t="s">
        <v>1548</v>
      </c>
      <c r="G880" s="1"/>
      <c r="J880" s="1" t="s">
        <v>9795</v>
      </c>
      <c r="K880" s="2" t="s">
        <v>9219</v>
      </c>
      <c r="L880" s="2" t="s">
        <v>9220</v>
      </c>
      <c r="M880" s="1" t="s">
        <v>12250</v>
      </c>
      <c r="P880" s="7" t="s">
        <v>1241</v>
      </c>
      <c r="Q880" s="13"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R880" s="13"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AU880" s="15"/>
      <c r="AV880" s="1" t="s">
        <v>1502</v>
      </c>
      <c r="BG880" s="7" t="s">
        <v>1503</v>
      </c>
      <c r="BH880" s="1" t="s">
        <v>1947</v>
      </c>
      <c r="BI880" s="2" t="s">
        <v>4841</v>
      </c>
      <c r="BJ880" s="1" t="s">
        <v>1959</v>
      </c>
      <c r="BK880" s="2" t="s">
        <v>4842</v>
      </c>
      <c r="BL880" s="1" t="s">
        <v>1875</v>
      </c>
      <c r="BM880" s="2" t="s">
        <v>4843</v>
      </c>
    </row>
    <row r="881" spans="1:71" ht="144" x14ac:dyDescent="0.45">
      <c r="A881" s="5">
        <v>880</v>
      </c>
      <c r="B881" s="8" t="s">
        <v>626</v>
      </c>
      <c r="C881" s="6" t="s">
        <v>6852</v>
      </c>
      <c r="D881" s="7" t="s">
        <v>9794</v>
      </c>
      <c r="E881" s="1" t="s">
        <v>4844</v>
      </c>
      <c r="F881" s="1" t="s">
        <v>1548</v>
      </c>
      <c r="G881" s="1"/>
      <c r="J881" s="1" t="s">
        <v>9795</v>
      </c>
      <c r="L881" s="2" t="s">
        <v>12129</v>
      </c>
      <c r="M881" s="1" t="s">
        <v>12200</v>
      </c>
      <c r="P881" s="7" t="s">
        <v>1241</v>
      </c>
      <c r="Q881" s="13"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881" s="13"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881" s="13"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881" s="13"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U881" s="13"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V881" s="13"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W881" s="13"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881" s="13"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881" s="1" t="s">
        <v>1502</v>
      </c>
      <c r="BG881" s="7" t="s">
        <v>1503</v>
      </c>
      <c r="BH881" s="1" t="s">
        <v>1976</v>
      </c>
      <c r="BI881" s="1" t="s">
        <v>4845</v>
      </c>
      <c r="BJ881" s="1" t="s">
        <v>1947</v>
      </c>
      <c r="BK881" s="2" t="s">
        <v>4846</v>
      </c>
      <c r="BL881" s="1" t="s">
        <v>1959</v>
      </c>
      <c r="BM881" s="2" t="s">
        <v>4847</v>
      </c>
      <c r="BN881" s="1" t="s">
        <v>1877</v>
      </c>
      <c r="BO881" s="2" t="s">
        <v>4848</v>
      </c>
    </row>
    <row r="882" spans="1:71" ht="144" x14ac:dyDescent="0.45">
      <c r="A882" s="5">
        <v>881</v>
      </c>
      <c r="B882" s="6" t="s">
        <v>627</v>
      </c>
      <c r="C882" s="6" t="s">
        <v>6852</v>
      </c>
      <c r="D882" s="7" t="s">
        <v>9794</v>
      </c>
      <c r="E882" s="1" t="s">
        <v>4849</v>
      </c>
      <c r="F882" s="1" t="s">
        <v>49</v>
      </c>
      <c r="G882" s="1"/>
      <c r="J882" s="1" t="s">
        <v>9795</v>
      </c>
      <c r="L882" s="2" t="s">
        <v>9221</v>
      </c>
      <c r="P882" s="7" t="s">
        <v>1241</v>
      </c>
      <c r="Q882" s="13"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882" s="13"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S882" s="13"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AU882" s="15"/>
      <c r="AV882" s="1" t="s">
        <v>1502</v>
      </c>
      <c r="BG882" s="7" t="s">
        <v>1503</v>
      </c>
      <c r="BH882" s="1" t="s">
        <v>1947</v>
      </c>
      <c r="BI882" s="2" t="s">
        <v>4850</v>
      </c>
      <c r="BJ882" s="1" t="s">
        <v>2036</v>
      </c>
      <c r="BK882" s="2" t="s">
        <v>4851</v>
      </c>
      <c r="BL882" s="1" t="s">
        <v>1959</v>
      </c>
      <c r="BM882" s="2" t="s">
        <v>4852</v>
      </c>
      <c r="BN882" s="1" t="s">
        <v>1875</v>
      </c>
      <c r="BO882" s="2" t="s">
        <v>4853</v>
      </c>
      <c r="BP882" s="1" t="s">
        <v>1877</v>
      </c>
      <c r="BQ882" s="2" t="s">
        <v>4854</v>
      </c>
      <c r="BR882" s="1" t="s">
        <v>3497</v>
      </c>
      <c r="BS882" s="2" t="s">
        <v>4855</v>
      </c>
    </row>
    <row r="883" spans="1:71" ht="234" x14ac:dyDescent="0.45">
      <c r="A883" s="5">
        <v>882</v>
      </c>
      <c r="B883" s="6" t="s">
        <v>628</v>
      </c>
      <c r="C883" s="6" t="s">
        <v>6852</v>
      </c>
      <c r="D883" s="7" t="s">
        <v>9794</v>
      </c>
      <c r="E883" s="1" t="s">
        <v>4856</v>
      </c>
      <c r="F883" s="1" t="s">
        <v>1687</v>
      </c>
      <c r="G883" s="1" t="s">
        <v>1551</v>
      </c>
      <c r="J883" s="1" t="s">
        <v>9795</v>
      </c>
      <c r="L883" s="2" t="s">
        <v>9257</v>
      </c>
      <c r="P883" s="7" t="s">
        <v>1241</v>
      </c>
      <c r="AU883" s="15"/>
      <c r="AV883" s="1" t="s">
        <v>1502</v>
      </c>
      <c r="BG883" s="7" t="s">
        <v>1503</v>
      </c>
      <c r="BH883" s="1" t="s">
        <v>1947</v>
      </c>
      <c r="BI883" s="2" t="s">
        <v>4857</v>
      </c>
      <c r="BJ883" s="1" t="s">
        <v>1996</v>
      </c>
      <c r="BK883" s="2" t="s">
        <v>4858</v>
      </c>
      <c r="BL883" s="1" t="s">
        <v>1877</v>
      </c>
      <c r="BM883" s="2" t="s">
        <v>4859</v>
      </c>
    </row>
    <row r="884" spans="1:71" ht="162" x14ac:dyDescent="0.45">
      <c r="A884" s="5">
        <v>883</v>
      </c>
      <c r="B884" s="6" t="s">
        <v>629</v>
      </c>
      <c r="C884" s="6" t="s">
        <v>6852</v>
      </c>
      <c r="D884" s="7" t="s">
        <v>9794</v>
      </c>
      <c r="E884" s="1" t="s">
        <v>629</v>
      </c>
      <c r="F884" s="1"/>
      <c r="G884" s="1"/>
      <c r="J884" s="1" t="s">
        <v>9795</v>
      </c>
      <c r="K884" s="2" t="s">
        <v>9222</v>
      </c>
      <c r="L884" s="2" t="s">
        <v>9223</v>
      </c>
      <c r="P884" s="7" t="s">
        <v>1241</v>
      </c>
      <c r="AV884" s="1" t="s">
        <v>1502</v>
      </c>
      <c r="BG884" s="7" t="s">
        <v>1503</v>
      </c>
      <c r="BH884" s="1" t="s">
        <v>1872</v>
      </c>
      <c r="BI884" s="1" t="s">
        <v>4860</v>
      </c>
      <c r="BJ884" s="1" t="s">
        <v>1875</v>
      </c>
      <c r="BK884" s="2" t="s">
        <v>4861</v>
      </c>
      <c r="BL884" s="1" t="s">
        <v>1877</v>
      </c>
      <c r="BM884" s="2" t="s">
        <v>4862</v>
      </c>
    </row>
    <row r="885" spans="1:71" ht="126" x14ac:dyDescent="0.45">
      <c r="A885" s="5">
        <v>884</v>
      </c>
      <c r="B885" s="6" t="s">
        <v>4863</v>
      </c>
      <c r="C885" s="6" t="s">
        <v>6852</v>
      </c>
      <c r="D885" s="7" t="s">
        <v>9794</v>
      </c>
      <c r="E885" s="1" t="s">
        <v>1941</v>
      </c>
      <c r="F885" s="1" t="s">
        <v>9038</v>
      </c>
      <c r="G885" s="1" t="s">
        <v>1931</v>
      </c>
      <c r="J885" s="1" t="s">
        <v>9795</v>
      </c>
      <c r="K885" s="2" t="s">
        <v>9224</v>
      </c>
      <c r="L885" s="2" t="s">
        <v>9258</v>
      </c>
      <c r="P885" s="7" t="s">
        <v>1241</v>
      </c>
      <c r="AU885" s="15"/>
      <c r="AV885" s="1" t="s">
        <v>1502</v>
      </c>
      <c r="BG885" s="7" t="s">
        <v>1503</v>
      </c>
      <c r="BH885" s="1" t="s">
        <v>1947</v>
      </c>
      <c r="BI885" s="2" t="s">
        <v>4864</v>
      </c>
      <c r="BJ885" s="1" t="s">
        <v>1504</v>
      </c>
      <c r="BK885" s="2" t="s">
        <v>4865</v>
      </c>
      <c r="BL885" s="1" t="s">
        <v>2044</v>
      </c>
      <c r="BM885" s="2" t="s">
        <v>4866</v>
      </c>
      <c r="BN885" s="1" t="s">
        <v>1883</v>
      </c>
      <c r="BO885" s="2" t="s">
        <v>4867</v>
      </c>
    </row>
    <row r="886" spans="1:71" ht="126" x14ac:dyDescent="0.45">
      <c r="A886" s="5">
        <v>885</v>
      </c>
      <c r="B886" s="6" t="s">
        <v>4868</v>
      </c>
      <c r="C886" s="6" t="s">
        <v>6852</v>
      </c>
      <c r="D886" s="7" t="s">
        <v>9794</v>
      </c>
      <c r="E886" s="1" t="s">
        <v>9039</v>
      </c>
      <c r="F886" s="1" t="s">
        <v>1551</v>
      </c>
      <c r="G886" s="1"/>
      <c r="J886" s="1" t="s">
        <v>9795</v>
      </c>
      <c r="K886" s="2" t="s">
        <v>9225</v>
      </c>
      <c r="L886" s="3" t="s">
        <v>9226</v>
      </c>
      <c r="P886" s="7" t="s">
        <v>1241</v>
      </c>
      <c r="AU886" s="15"/>
      <c r="AV886" s="1" t="s">
        <v>1502</v>
      </c>
      <c r="BG886" s="7" t="s">
        <v>1503</v>
      </c>
      <c r="BH886" s="1" t="s">
        <v>2423</v>
      </c>
      <c r="BI886" s="2" t="s">
        <v>4869</v>
      </c>
      <c r="BJ886" s="1" t="s">
        <v>2034</v>
      </c>
      <c r="BK886" s="1" t="s">
        <v>4870</v>
      </c>
      <c r="BL886" s="1" t="s">
        <v>1980</v>
      </c>
      <c r="BM886" s="1" t="s">
        <v>4871</v>
      </c>
      <c r="BN886" s="1" t="s">
        <v>1504</v>
      </c>
      <c r="BO886" s="1" t="s">
        <v>4872</v>
      </c>
      <c r="BP886" s="1" t="s">
        <v>2044</v>
      </c>
      <c r="BQ886" s="2" t="s">
        <v>4873</v>
      </c>
      <c r="BR886" s="1" t="s">
        <v>1865</v>
      </c>
      <c r="BS886" s="2" t="s">
        <v>4874</v>
      </c>
    </row>
    <row r="887" spans="1:71" ht="144" x14ac:dyDescent="0.45">
      <c r="A887" s="5">
        <v>886</v>
      </c>
      <c r="B887" s="6" t="s">
        <v>630</v>
      </c>
      <c r="C887" s="6" t="s">
        <v>6852</v>
      </c>
      <c r="D887" s="7" t="s">
        <v>9794</v>
      </c>
      <c r="E887" s="6" t="s">
        <v>630</v>
      </c>
      <c r="F887" s="1"/>
      <c r="G887" s="1"/>
      <c r="J887" s="1" t="s">
        <v>9795</v>
      </c>
      <c r="L887" s="2" t="s">
        <v>9227</v>
      </c>
      <c r="P887" s="7" t="s">
        <v>1241</v>
      </c>
      <c r="Q887" s="13" t="str">
        <f>INDEX($L:$L, MATCH("intimate", $B:$B, 0))</f>
        <v>&lt;span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
&lt;span class="spacer"&gt;&lt;/span&gt;imate部分は、ultimate（究極の）でも使われている。ultimateは、ラテン語ulter（超える）に最上級imusが付いて、最も超えていることから「究極の」という意味になる。&lt;/span&gt;</v>
      </c>
      <c r="AV887" s="1" t="s">
        <v>1502</v>
      </c>
      <c r="BG887" s="7" t="s">
        <v>1503</v>
      </c>
      <c r="BH887" s="1" t="s">
        <v>1976</v>
      </c>
      <c r="BI887" s="1" t="s">
        <v>4875</v>
      </c>
      <c r="BJ887" s="1" t="s">
        <v>1947</v>
      </c>
      <c r="BK887" s="2" t="s">
        <v>4876</v>
      </c>
      <c r="BL887" s="1" t="s">
        <v>2036</v>
      </c>
      <c r="BM887" s="2" t="s">
        <v>4877</v>
      </c>
      <c r="BN887" s="1" t="s">
        <v>1877</v>
      </c>
      <c r="BO887" s="2" t="s">
        <v>4878</v>
      </c>
    </row>
    <row r="888" spans="1:71" ht="54" x14ac:dyDescent="0.45">
      <c r="A888" s="5">
        <v>887</v>
      </c>
      <c r="B888" s="6" t="s">
        <v>631</v>
      </c>
      <c r="C888" s="6" t="s">
        <v>6852</v>
      </c>
      <c r="D888" s="7" t="s">
        <v>9794</v>
      </c>
      <c r="E888" s="1" t="s">
        <v>631</v>
      </c>
      <c r="F888" s="1"/>
      <c r="G888" s="1"/>
      <c r="J888" s="1" t="s">
        <v>9795</v>
      </c>
      <c r="K888" s="1" t="s">
        <v>4879</v>
      </c>
      <c r="L888" s="2" t="s">
        <v>9228</v>
      </c>
      <c r="P888" s="7" t="s">
        <v>1241</v>
      </c>
      <c r="AV888" s="1" t="s">
        <v>1502</v>
      </c>
      <c r="BG888" s="7" t="s">
        <v>1503</v>
      </c>
      <c r="BH888" s="1" t="s">
        <v>1872</v>
      </c>
      <c r="BI888" s="1" t="s">
        <v>4880</v>
      </c>
    </row>
    <row r="889" spans="1:71" ht="234" x14ac:dyDescent="0.45">
      <c r="A889" s="5">
        <v>888</v>
      </c>
      <c r="B889" s="8" t="s">
        <v>632</v>
      </c>
      <c r="C889" s="6" t="s">
        <v>6852</v>
      </c>
      <c r="D889" s="7" t="s">
        <v>9794</v>
      </c>
      <c r="E889" s="1" t="s">
        <v>4881</v>
      </c>
      <c r="F889" s="1" t="s">
        <v>1758</v>
      </c>
      <c r="G889" s="1"/>
      <c r="J889" s="1" t="s">
        <v>9795</v>
      </c>
      <c r="L889" s="2" t="s">
        <v>9229</v>
      </c>
      <c r="M889" s="1" t="s">
        <v>12200</v>
      </c>
      <c r="P889" s="7" t="s">
        <v>1241</v>
      </c>
      <c r="Q889" s="13"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889" s="13"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889" s="13"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889" s="13"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U889" s="13"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V889" s="13"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W889" s="13"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X889" s="13"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889" s="1" t="s">
        <v>1502</v>
      </c>
      <c r="BG889" s="7" t="s">
        <v>1503</v>
      </c>
      <c r="BH889" s="1" t="s">
        <v>1976</v>
      </c>
      <c r="BI889" s="1" t="s">
        <v>4845</v>
      </c>
      <c r="BJ889" s="1" t="s">
        <v>1947</v>
      </c>
      <c r="BK889" s="2" t="s">
        <v>4882</v>
      </c>
      <c r="BL889" s="1" t="s">
        <v>1877</v>
      </c>
      <c r="BM889" s="2" t="s">
        <v>4883</v>
      </c>
    </row>
    <row r="890" spans="1:71" ht="108" x14ac:dyDescent="0.45">
      <c r="A890" s="5">
        <v>889</v>
      </c>
      <c r="B890" s="6" t="s">
        <v>633</v>
      </c>
      <c r="C890" s="6" t="s">
        <v>6852</v>
      </c>
      <c r="D890" s="7" t="s">
        <v>9794</v>
      </c>
      <c r="E890" s="1" t="s">
        <v>4884</v>
      </c>
      <c r="F890" s="1" t="s">
        <v>49</v>
      </c>
      <c r="G890" s="1"/>
      <c r="J890" s="1" t="s">
        <v>9795</v>
      </c>
      <c r="L890" s="2" t="s">
        <v>9230</v>
      </c>
      <c r="P890" s="7" t="s">
        <v>1241</v>
      </c>
      <c r="Q890" s="13"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890" s="13"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890" s="13"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T890" s="13"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U890"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890"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890" s="15"/>
      <c r="AV890" s="1" t="s">
        <v>1502</v>
      </c>
      <c r="BG890" s="7" t="s">
        <v>1503</v>
      </c>
      <c r="BH890" s="1" t="s">
        <v>1947</v>
      </c>
      <c r="BI890" s="2" t="s">
        <v>4885</v>
      </c>
      <c r="BJ890" s="1" t="s">
        <v>1875</v>
      </c>
      <c r="BK890" s="2" t="s">
        <v>4886</v>
      </c>
    </row>
    <row r="891" spans="1:71" ht="144" x14ac:dyDescent="0.45">
      <c r="A891" s="5">
        <v>890</v>
      </c>
      <c r="B891" s="6" t="s">
        <v>634</v>
      </c>
      <c r="C891" s="6" t="s">
        <v>6852</v>
      </c>
      <c r="D891" s="7" t="s">
        <v>9794</v>
      </c>
      <c r="E891" s="1" t="s">
        <v>4887</v>
      </c>
      <c r="F891" s="1" t="s">
        <v>1551</v>
      </c>
      <c r="G891" s="1" t="s">
        <v>49</v>
      </c>
      <c r="J891" s="1" t="s">
        <v>9795</v>
      </c>
      <c r="K891" s="1" t="s">
        <v>4888</v>
      </c>
      <c r="L891" s="2" t="s">
        <v>9259</v>
      </c>
      <c r="P891" s="7" t="s">
        <v>1241</v>
      </c>
      <c r="AU891" s="15"/>
      <c r="AV891" s="1" t="s">
        <v>1502</v>
      </c>
      <c r="BG891" s="7" t="s">
        <v>1503</v>
      </c>
      <c r="BH891" s="1" t="s">
        <v>2458</v>
      </c>
      <c r="BI891" s="2" t="s">
        <v>4889</v>
      </c>
      <c r="BJ891" s="1" t="s">
        <v>1947</v>
      </c>
      <c r="BK891" s="1" t="s">
        <v>4890</v>
      </c>
      <c r="BL891" s="1" t="s">
        <v>1875</v>
      </c>
      <c r="BM891" s="2" t="s">
        <v>4891</v>
      </c>
      <c r="BN891" s="1" t="s">
        <v>1877</v>
      </c>
      <c r="BO891" s="2" t="s">
        <v>4892</v>
      </c>
    </row>
    <row r="892" spans="1:71" ht="126" x14ac:dyDescent="0.45">
      <c r="A892" s="5">
        <v>891</v>
      </c>
      <c r="B892" s="8" t="s">
        <v>635</v>
      </c>
      <c r="C892" s="6" t="s">
        <v>6852</v>
      </c>
      <c r="D892" s="7" t="s">
        <v>9794</v>
      </c>
      <c r="E892" s="1" t="s">
        <v>27</v>
      </c>
      <c r="F892" s="1" t="s">
        <v>1546</v>
      </c>
      <c r="G892" s="1"/>
      <c r="J892" s="1" t="s">
        <v>9795</v>
      </c>
      <c r="K892" s="2" t="s">
        <v>9231</v>
      </c>
      <c r="L892" s="2" t="s">
        <v>9232</v>
      </c>
      <c r="M892" s="1" t="s">
        <v>12225</v>
      </c>
      <c r="P892" s="7" t="s">
        <v>1241</v>
      </c>
      <c r="Q892"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892"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892"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892"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892"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892"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892"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892"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892"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892"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892"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892"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892"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892"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892"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892" s="15"/>
      <c r="AV892" s="1" t="s">
        <v>1502</v>
      </c>
      <c r="BG892" s="7" t="s">
        <v>1503</v>
      </c>
      <c r="BH892" s="1" t="s">
        <v>1947</v>
      </c>
      <c r="BI892" s="2" t="s">
        <v>9233</v>
      </c>
      <c r="BJ892" s="1" t="s">
        <v>1959</v>
      </c>
      <c r="BK892" s="2" t="s">
        <v>4893</v>
      </c>
      <c r="BL892" s="1" t="s">
        <v>1875</v>
      </c>
      <c r="BM892" s="2" t="s">
        <v>4894</v>
      </c>
      <c r="BN892" s="1" t="s">
        <v>1877</v>
      </c>
      <c r="BO892" s="2" t="s">
        <v>4895</v>
      </c>
      <c r="BP892" s="1" t="s">
        <v>3497</v>
      </c>
      <c r="BQ892" s="2" t="s">
        <v>4896</v>
      </c>
    </row>
    <row r="893" spans="1:71" ht="90" x14ac:dyDescent="0.45">
      <c r="A893" s="5">
        <v>892</v>
      </c>
      <c r="B893" s="6" t="s">
        <v>636</v>
      </c>
      <c r="C893" s="6" t="s">
        <v>6852</v>
      </c>
      <c r="D893" s="7" t="s">
        <v>9794</v>
      </c>
      <c r="E893" s="1" t="s">
        <v>636</v>
      </c>
      <c r="F893" s="1"/>
      <c r="G893" s="1"/>
      <c r="J893" s="1" t="s">
        <v>9795</v>
      </c>
      <c r="K893" s="1" t="s">
        <v>9234</v>
      </c>
      <c r="L893" s="2" t="s">
        <v>9235</v>
      </c>
      <c r="P893" s="7" t="s">
        <v>1241</v>
      </c>
      <c r="AV893" s="1" t="s">
        <v>1502</v>
      </c>
      <c r="BG893" s="7" t="s">
        <v>1503</v>
      </c>
      <c r="BH893" s="1" t="s">
        <v>1872</v>
      </c>
      <c r="BI893" s="1" t="s">
        <v>4897</v>
      </c>
      <c r="BJ893" s="1" t="s">
        <v>1875</v>
      </c>
      <c r="BK893" s="2" t="s">
        <v>4898</v>
      </c>
    </row>
    <row r="894" spans="1:71" ht="126" x14ac:dyDescent="0.45">
      <c r="A894" s="5">
        <v>893</v>
      </c>
      <c r="B894" s="8" t="s">
        <v>637</v>
      </c>
      <c r="C894" s="6" t="s">
        <v>6852</v>
      </c>
      <c r="D894" s="7" t="s">
        <v>9794</v>
      </c>
      <c r="E894" s="1" t="s">
        <v>29</v>
      </c>
      <c r="F894" s="1" t="s">
        <v>4899</v>
      </c>
      <c r="G894" s="1"/>
      <c r="J894" s="1" t="s">
        <v>9795</v>
      </c>
      <c r="L894" s="2" t="s">
        <v>9236</v>
      </c>
      <c r="M894" s="1" t="s">
        <v>12195</v>
      </c>
      <c r="P894" s="7" t="s">
        <v>1241</v>
      </c>
      <c r="Q894" s="13"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R894" s="13"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S894" s="13"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AU894" s="15"/>
      <c r="AV894" s="1" t="s">
        <v>1502</v>
      </c>
      <c r="BG894" s="7" t="s">
        <v>1503</v>
      </c>
      <c r="BH894" s="1" t="s">
        <v>1947</v>
      </c>
      <c r="BI894" s="2" t="s">
        <v>4900</v>
      </c>
      <c r="BJ894" s="1" t="s">
        <v>1875</v>
      </c>
      <c r="BK894" s="2" t="s">
        <v>4901</v>
      </c>
      <c r="BL894" s="1" t="s">
        <v>1877</v>
      </c>
      <c r="BM894" s="2" t="s">
        <v>4902</v>
      </c>
    </row>
    <row r="895" spans="1:71" ht="144" x14ac:dyDescent="0.45">
      <c r="A895" s="5">
        <v>894</v>
      </c>
      <c r="B895" s="6" t="s">
        <v>638</v>
      </c>
      <c r="C895" s="6" t="s">
        <v>6852</v>
      </c>
      <c r="D895" s="7" t="s">
        <v>9794</v>
      </c>
      <c r="E895" s="1" t="s">
        <v>638</v>
      </c>
      <c r="F895" s="1"/>
      <c r="G895" s="1"/>
      <c r="J895" s="1" t="s">
        <v>9795</v>
      </c>
      <c r="K895" s="2"/>
      <c r="L895" s="3" t="s">
        <v>9237</v>
      </c>
      <c r="P895" s="7" t="s">
        <v>1241</v>
      </c>
      <c r="AU895" s="15"/>
      <c r="AV895" s="1" t="s">
        <v>1502</v>
      </c>
      <c r="BG895" s="7" t="s">
        <v>1503</v>
      </c>
      <c r="BH895" s="1" t="s">
        <v>1875</v>
      </c>
      <c r="BI895" s="2" t="s">
        <v>4903</v>
      </c>
      <c r="BJ895" s="1" t="s">
        <v>1877</v>
      </c>
      <c r="BK895" s="2" t="s">
        <v>4904</v>
      </c>
    </row>
    <row r="896" spans="1:71" ht="144" x14ac:dyDescent="0.45">
      <c r="A896" s="5">
        <v>895</v>
      </c>
      <c r="B896" s="8" t="s">
        <v>639</v>
      </c>
      <c r="C896" s="6" t="s">
        <v>6852</v>
      </c>
      <c r="D896" s="7" t="s">
        <v>9794</v>
      </c>
      <c r="E896" s="1" t="s">
        <v>1428</v>
      </c>
      <c r="F896" s="1" t="s">
        <v>1668</v>
      </c>
      <c r="G896" s="1" t="s">
        <v>1528</v>
      </c>
      <c r="J896" s="1" t="s">
        <v>9795</v>
      </c>
      <c r="L896" s="2" t="s">
        <v>9238</v>
      </c>
      <c r="M896" s="1" t="s">
        <v>12248</v>
      </c>
      <c r="P896" s="7" t="s">
        <v>1241</v>
      </c>
      <c r="Q896" s="13"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896" s="13"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S896" s="13"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T896" s="13"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U896" s="13"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896" s="13"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AU896" s="15"/>
      <c r="AV896" s="1" t="s">
        <v>1502</v>
      </c>
      <c r="BG896" s="7" t="s">
        <v>1503</v>
      </c>
      <c r="BH896" s="1" t="s">
        <v>1947</v>
      </c>
      <c r="BI896" s="2" t="s">
        <v>4905</v>
      </c>
      <c r="BJ896" s="1" t="s">
        <v>1959</v>
      </c>
      <c r="BK896" s="1" t="s">
        <v>4906</v>
      </c>
      <c r="BL896" s="1" t="s">
        <v>1875</v>
      </c>
      <c r="BM896" s="2" t="s">
        <v>4907</v>
      </c>
      <c r="BN896" s="1" t="s">
        <v>1877</v>
      </c>
      <c r="BO896" s="2" t="s">
        <v>4908</v>
      </c>
    </row>
    <row r="897" spans="1:69" ht="144" x14ac:dyDescent="0.45">
      <c r="A897" s="5">
        <v>896</v>
      </c>
      <c r="B897" s="8" t="s">
        <v>640</v>
      </c>
      <c r="C897" s="6" t="s">
        <v>6852</v>
      </c>
      <c r="D897" s="7" t="s">
        <v>9794</v>
      </c>
      <c r="E897" s="1" t="s">
        <v>27</v>
      </c>
      <c r="F897" s="1" t="s">
        <v>1454</v>
      </c>
      <c r="G897" s="1" t="s">
        <v>9007</v>
      </c>
      <c r="H897" s="1" t="s">
        <v>1456</v>
      </c>
      <c r="J897" s="1" t="s">
        <v>9795</v>
      </c>
      <c r="L897" s="2" t="s">
        <v>9239</v>
      </c>
      <c r="M897" s="1" t="s">
        <v>12247</v>
      </c>
      <c r="P897" s="7" t="s">
        <v>1241</v>
      </c>
      <c r="AU897" s="15"/>
      <c r="AV897" s="1" t="s">
        <v>1502</v>
      </c>
      <c r="BG897" s="7" t="s">
        <v>1503</v>
      </c>
      <c r="BH897" s="1" t="s">
        <v>1947</v>
      </c>
      <c r="BI897" s="2" t="s">
        <v>4909</v>
      </c>
      <c r="BJ897" s="1" t="s">
        <v>1875</v>
      </c>
      <c r="BK897" s="2" t="s">
        <v>4910</v>
      </c>
    </row>
    <row r="898" spans="1:69" ht="144" x14ac:dyDescent="0.45">
      <c r="A898" s="5">
        <v>897</v>
      </c>
      <c r="B898" s="8" t="s">
        <v>641</v>
      </c>
      <c r="C898" s="6" t="s">
        <v>6852</v>
      </c>
      <c r="D898" s="7" t="s">
        <v>9794</v>
      </c>
      <c r="E898" s="1" t="s">
        <v>31</v>
      </c>
      <c r="F898" s="1" t="s">
        <v>74</v>
      </c>
      <c r="G898" s="1"/>
      <c r="J898" s="1" t="s">
        <v>9795</v>
      </c>
      <c r="K898" s="2"/>
      <c r="L898" s="3" t="s">
        <v>9742</v>
      </c>
      <c r="M898" s="1" t="s">
        <v>12183</v>
      </c>
      <c r="P898" s="7" t="s">
        <v>1241</v>
      </c>
      <c r="Q898" s="13" t="str">
        <f>INDEX($L:$L, MATCH("found", $B:$B, 0))</f>
        <v>&lt;span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v>
      </c>
      <c r="R898" s="13" t="str">
        <f>INDEX($L:$L, MATCH("fund", $B:$B, 0))</f>
        <v>&lt;span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v>
      </c>
      <c r="S898" s="13" t="str">
        <f>INDEX($L:$L, MATCH("fundamental", $B:$B, 0))</f>
        <v>&lt;span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v>
      </c>
      <c r="AU898" s="15"/>
      <c r="AV898" s="1" t="s">
        <v>1502</v>
      </c>
      <c r="BG898" s="7" t="s">
        <v>1503</v>
      </c>
      <c r="BH898" s="1" t="s">
        <v>1947</v>
      </c>
      <c r="BI898" s="2" t="s">
        <v>4911</v>
      </c>
      <c r="BJ898" s="1" t="s">
        <v>1959</v>
      </c>
      <c r="BK898" s="2" t="s">
        <v>4912</v>
      </c>
      <c r="BL898" s="1" t="s">
        <v>1875</v>
      </c>
      <c r="BM898" s="2" t="s">
        <v>4913</v>
      </c>
    </row>
    <row r="899" spans="1:69" ht="90" x14ac:dyDescent="0.45">
      <c r="A899" s="5">
        <v>898</v>
      </c>
      <c r="B899" s="6" t="s">
        <v>642</v>
      </c>
      <c r="C899" s="6" t="s">
        <v>6852</v>
      </c>
      <c r="D899" s="7" t="s">
        <v>9794</v>
      </c>
      <c r="E899" s="1" t="s">
        <v>4914</v>
      </c>
      <c r="F899" s="1" t="s">
        <v>1946</v>
      </c>
      <c r="G899" s="1"/>
      <c r="J899" s="1" t="s">
        <v>9795</v>
      </c>
      <c r="L899" s="2" t="s">
        <v>9240</v>
      </c>
      <c r="P899" s="7" t="s">
        <v>1241</v>
      </c>
      <c r="Q899"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899"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899"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899"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899"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899"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899"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899"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899"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899"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899"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B899"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899"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899"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899"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899" s="15"/>
      <c r="AV899" s="1" t="s">
        <v>1502</v>
      </c>
      <c r="BG899" s="7" t="s">
        <v>1503</v>
      </c>
      <c r="BH899" s="1" t="s">
        <v>1976</v>
      </c>
      <c r="BI899" s="2" t="s">
        <v>3796</v>
      </c>
      <c r="BJ899" s="1" t="s">
        <v>1872</v>
      </c>
      <c r="BK899" s="2" t="s">
        <v>4915</v>
      </c>
      <c r="BL899" s="1" t="s">
        <v>1875</v>
      </c>
      <c r="BM899" s="1" t="s">
        <v>4916</v>
      </c>
      <c r="BN899" s="1" t="s">
        <v>1877</v>
      </c>
      <c r="BO899" s="2" t="s">
        <v>4917</v>
      </c>
    </row>
    <row r="900" spans="1:69" ht="72" x14ac:dyDescent="0.45">
      <c r="A900" s="5">
        <v>899</v>
      </c>
      <c r="B900" s="6" t="s">
        <v>643</v>
      </c>
      <c r="C900" s="6" t="s">
        <v>6852</v>
      </c>
      <c r="D900" s="7" t="s">
        <v>9794</v>
      </c>
      <c r="E900" s="1" t="s">
        <v>643</v>
      </c>
      <c r="F900" s="1"/>
      <c r="G900" s="1"/>
      <c r="J900" s="1" t="s">
        <v>9795</v>
      </c>
      <c r="L900" s="2" t="s">
        <v>9241</v>
      </c>
      <c r="P900" s="7" t="s">
        <v>1241</v>
      </c>
      <c r="AV900" s="1" t="s">
        <v>1502</v>
      </c>
      <c r="BG900" s="7" t="s">
        <v>1503</v>
      </c>
      <c r="BH900" s="1" t="s">
        <v>1947</v>
      </c>
      <c r="BI900" s="1" t="s">
        <v>4918</v>
      </c>
      <c r="BJ900" s="1" t="s">
        <v>1875</v>
      </c>
      <c r="BK900" s="2" t="s">
        <v>4919</v>
      </c>
      <c r="BL900" s="1" t="s">
        <v>1877</v>
      </c>
      <c r="BM900" s="2" t="s">
        <v>4920</v>
      </c>
    </row>
    <row r="901" spans="1:69" ht="162" x14ac:dyDescent="0.45">
      <c r="A901" s="5">
        <v>900</v>
      </c>
      <c r="B901" s="6" t="s">
        <v>644</v>
      </c>
      <c r="C901" s="6" t="s">
        <v>6854</v>
      </c>
      <c r="D901" s="7" t="s">
        <v>9794</v>
      </c>
      <c r="E901" s="1" t="s">
        <v>4921</v>
      </c>
      <c r="F901" s="1" t="s">
        <v>4922</v>
      </c>
      <c r="G901" s="1"/>
      <c r="J901" s="1" t="s">
        <v>9795</v>
      </c>
      <c r="K901" s="2"/>
      <c r="L901" s="2" t="s">
        <v>9242</v>
      </c>
      <c r="P901" s="7" t="s">
        <v>1241</v>
      </c>
      <c r="Q901" s="13" t="str">
        <f>INDEX($L:$L, MATCH("likely", $B:$B, 0))</f>
        <v>&lt;span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v>
      </c>
      <c r="AU901" s="15"/>
      <c r="AV901" s="1" t="s">
        <v>1502</v>
      </c>
      <c r="BG901" s="7" t="s">
        <v>1503</v>
      </c>
      <c r="BH901" s="1" t="s">
        <v>1872</v>
      </c>
      <c r="BI901" s="2" t="s">
        <v>4923</v>
      </c>
      <c r="BJ901" s="1" t="s">
        <v>1875</v>
      </c>
      <c r="BK901" s="2" t="s">
        <v>4924</v>
      </c>
    </row>
    <row r="902" spans="1:69" ht="162" x14ac:dyDescent="0.45">
      <c r="A902" s="5">
        <v>901</v>
      </c>
      <c r="B902" s="8" t="s">
        <v>645</v>
      </c>
      <c r="C902" s="6" t="s">
        <v>1816</v>
      </c>
      <c r="D902" s="7" t="s">
        <v>9794</v>
      </c>
      <c r="E902" s="1" t="s">
        <v>645</v>
      </c>
      <c r="F902" s="1"/>
      <c r="G902" s="1"/>
      <c r="J902" s="1" t="s">
        <v>9795</v>
      </c>
      <c r="K902" s="1" t="s">
        <v>4925</v>
      </c>
      <c r="L902" s="2" t="s">
        <v>9260</v>
      </c>
      <c r="P902" s="7" t="s">
        <v>1241</v>
      </c>
      <c r="AU902" s="15"/>
      <c r="AV902" s="1" t="s">
        <v>1502</v>
      </c>
      <c r="BG902" s="7" t="s">
        <v>1503</v>
      </c>
      <c r="BH902" s="1" t="s">
        <v>1947</v>
      </c>
      <c r="BI902" s="2" t="s">
        <v>4926</v>
      </c>
      <c r="BJ902" s="1" t="s">
        <v>2026</v>
      </c>
      <c r="BK902" s="1" t="s">
        <v>4927</v>
      </c>
      <c r="BL902" s="1" t="s">
        <v>1959</v>
      </c>
      <c r="BM902" s="2" t="s">
        <v>4928</v>
      </c>
      <c r="BN902" s="1" t="s">
        <v>1875</v>
      </c>
      <c r="BO902" s="2" t="s">
        <v>4929</v>
      </c>
    </row>
    <row r="903" spans="1:69" ht="144" x14ac:dyDescent="0.45">
      <c r="A903" s="5">
        <v>902</v>
      </c>
      <c r="B903" s="8" t="s">
        <v>646</v>
      </c>
      <c r="C903" s="6" t="s">
        <v>1816</v>
      </c>
      <c r="D903" s="7" t="s">
        <v>9794</v>
      </c>
      <c r="E903" s="1" t="s">
        <v>646</v>
      </c>
      <c r="F903" s="1"/>
      <c r="G903" s="1"/>
      <c r="J903" s="1" t="s">
        <v>9795</v>
      </c>
      <c r="K903" s="2"/>
      <c r="L903" s="3" t="s">
        <v>9261</v>
      </c>
      <c r="M903" s="1" t="s">
        <v>12237</v>
      </c>
      <c r="P903" s="7" t="s">
        <v>1241</v>
      </c>
      <c r="Q903" s="13"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R903" s="13"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S903" s="13"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T903" s="13"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AU903" s="15"/>
      <c r="AV903" s="1" t="s">
        <v>1502</v>
      </c>
      <c r="BG903" s="7" t="s">
        <v>1503</v>
      </c>
      <c r="BH903" s="1" t="s">
        <v>1947</v>
      </c>
      <c r="BI903" s="2" t="s">
        <v>4930</v>
      </c>
      <c r="BJ903" s="1" t="s">
        <v>2026</v>
      </c>
      <c r="BK903" s="1" t="s">
        <v>4931</v>
      </c>
      <c r="BL903" s="1" t="s">
        <v>1959</v>
      </c>
      <c r="BM903" s="1" t="s">
        <v>4932</v>
      </c>
      <c r="BN903" s="1" t="s">
        <v>2114</v>
      </c>
      <c r="BO903" s="1" t="s">
        <v>4933</v>
      </c>
      <c r="BP903" s="1" t="s">
        <v>1875</v>
      </c>
      <c r="BQ903" s="2" t="s">
        <v>4934</v>
      </c>
    </row>
    <row r="904" spans="1:69" ht="90" x14ac:dyDescent="0.45">
      <c r="A904" s="5">
        <v>903</v>
      </c>
      <c r="B904" s="6" t="s">
        <v>647</v>
      </c>
      <c r="C904" s="6" t="s">
        <v>1816</v>
      </c>
      <c r="D904" s="7" t="s">
        <v>9794</v>
      </c>
      <c r="E904" s="1" t="s">
        <v>647</v>
      </c>
      <c r="F904" s="1"/>
      <c r="G904" s="1"/>
      <c r="J904" s="1" t="s">
        <v>9795</v>
      </c>
      <c r="K904" s="2" t="s">
        <v>9262</v>
      </c>
      <c r="L904" s="2" t="s">
        <v>9263</v>
      </c>
      <c r="P904" s="7" t="s">
        <v>1241</v>
      </c>
      <c r="AU904" s="15"/>
      <c r="AV904" s="1" t="s">
        <v>1502</v>
      </c>
      <c r="BG904" s="7" t="s">
        <v>1503</v>
      </c>
      <c r="BH904" s="1" t="s">
        <v>1875</v>
      </c>
      <c r="BI904" s="2" t="s">
        <v>4935</v>
      </c>
    </row>
    <row r="905" spans="1:69" ht="90" x14ac:dyDescent="0.45">
      <c r="A905" s="5">
        <v>904</v>
      </c>
      <c r="B905" s="8" t="s">
        <v>648</v>
      </c>
      <c r="C905" s="6" t="s">
        <v>1816</v>
      </c>
      <c r="D905" s="7" t="s">
        <v>9794</v>
      </c>
      <c r="E905" s="1" t="s">
        <v>648</v>
      </c>
      <c r="F905" s="1"/>
      <c r="G905" s="1"/>
      <c r="J905" s="1" t="s">
        <v>9795</v>
      </c>
      <c r="L905" s="2" t="s">
        <v>9264</v>
      </c>
      <c r="P905" s="7" t="s">
        <v>1241</v>
      </c>
      <c r="AU905" s="15"/>
      <c r="AV905" s="1" t="s">
        <v>1502</v>
      </c>
      <c r="BG905" s="7" t="s">
        <v>1503</v>
      </c>
      <c r="BH905" s="1" t="s">
        <v>1976</v>
      </c>
      <c r="BI905" s="2" t="s">
        <v>4936</v>
      </c>
      <c r="BJ905" s="1" t="s">
        <v>1875</v>
      </c>
      <c r="BK905" s="2" t="s">
        <v>4937</v>
      </c>
      <c r="BL905" s="1" t="s">
        <v>1877</v>
      </c>
      <c r="BM905" s="2" t="s">
        <v>4938</v>
      </c>
    </row>
    <row r="906" spans="1:69" ht="90" x14ac:dyDescent="0.45">
      <c r="A906" s="5">
        <v>905</v>
      </c>
      <c r="B906" s="6" t="s">
        <v>649</v>
      </c>
      <c r="C906" s="6" t="s">
        <v>1816</v>
      </c>
      <c r="D906" s="7" t="s">
        <v>9794</v>
      </c>
      <c r="E906" s="1" t="s">
        <v>649</v>
      </c>
      <c r="F906" s="1"/>
      <c r="G906" s="1"/>
      <c r="J906" s="1" t="s">
        <v>9795</v>
      </c>
      <c r="K906" s="1" t="s">
        <v>4939</v>
      </c>
      <c r="L906" s="2" t="s">
        <v>9265</v>
      </c>
      <c r="P906" s="7" t="s">
        <v>1241</v>
      </c>
      <c r="AV906" s="1" t="s">
        <v>1502</v>
      </c>
      <c r="BG906" s="7" t="s">
        <v>1503</v>
      </c>
      <c r="BH906" s="1" t="s">
        <v>1872</v>
      </c>
      <c r="BI906" s="1" t="s">
        <v>4940</v>
      </c>
      <c r="BJ906" s="1" t="s">
        <v>1875</v>
      </c>
      <c r="BK906" s="2" t="s">
        <v>4941</v>
      </c>
    </row>
    <row r="907" spans="1:69" ht="144" x14ac:dyDescent="0.45">
      <c r="A907" s="5">
        <v>906</v>
      </c>
      <c r="B907" s="6" t="s">
        <v>650</v>
      </c>
      <c r="C907" s="6" t="s">
        <v>1816</v>
      </c>
      <c r="D907" s="7" t="s">
        <v>9794</v>
      </c>
      <c r="E907" s="1" t="s">
        <v>1537</v>
      </c>
      <c r="F907" s="1" t="s">
        <v>4942</v>
      </c>
      <c r="G907" s="1"/>
      <c r="J907" s="1" t="s">
        <v>9795</v>
      </c>
      <c r="K907" s="2"/>
      <c r="L907" s="3" t="s">
        <v>9266</v>
      </c>
      <c r="P907" s="7" t="s">
        <v>1241</v>
      </c>
      <c r="AU907" s="15"/>
      <c r="AV907" s="1" t="s">
        <v>1502</v>
      </c>
      <c r="BG907" s="7" t="s">
        <v>1503</v>
      </c>
      <c r="BH907" s="1" t="s">
        <v>1875</v>
      </c>
      <c r="BI907" s="2" t="s">
        <v>4943</v>
      </c>
      <c r="BJ907" s="1" t="s">
        <v>1877</v>
      </c>
      <c r="BK907" s="2" t="s">
        <v>4944</v>
      </c>
    </row>
    <row r="908" spans="1:69" ht="90" x14ac:dyDescent="0.45">
      <c r="A908" s="5">
        <v>907</v>
      </c>
      <c r="B908" s="6" t="s">
        <v>651</v>
      </c>
      <c r="C908" s="6" t="s">
        <v>1816</v>
      </c>
      <c r="D908" s="7" t="s">
        <v>9794</v>
      </c>
      <c r="E908" s="1" t="s">
        <v>651</v>
      </c>
      <c r="F908" s="1"/>
      <c r="G908" s="1"/>
      <c r="J908" s="1" t="s">
        <v>9795</v>
      </c>
      <c r="K908" s="2"/>
      <c r="L908" s="2" t="s">
        <v>9267</v>
      </c>
      <c r="P908" s="7" t="s">
        <v>1241</v>
      </c>
      <c r="AV908" s="1" t="s">
        <v>1502</v>
      </c>
      <c r="BG908" s="7" t="s">
        <v>1503</v>
      </c>
      <c r="BH908" s="1" t="s">
        <v>1872</v>
      </c>
      <c r="BI908" s="1" t="s">
        <v>4945</v>
      </c>
      <c r="BJ908" s="1" t="s">
        <v>1875</v>
      </c>
      <c r="BK908" s="2" t="s">
        <v>4946</v>
      </c>
      <c r="BL908" s="1" t="s">
        <v>1877</v>
      </c>
      <c r="BM908" s="2" t="s">
        <v>4947</v>
      </c>
    </row>
    <row r="909" spans="1:69" ht="90" x14ac:dyDescent="0.45">
      <c r="A909" s="5">
        <v>908</v>
      </c>
      <c r="B909" s="6" t="s">
        <v>652</v>
      </c>
      <c r="C909" s="6" t="s">
        <v>1816</v>
      </c>
      <c r="D909" s="7" t="s">
        <v>9794</v>
      </c>
      <c r="E909" s="1" t="s">
        <v>652</v>
      </c>
      <c r="F909" s="1"/>
      <c r="G909" s="1"/>
      <c r="J909" s="1" t="s">
        <v>9795</v>
      </c>
      <c r="K909" s="1" t="s">
        <v>4948</v>
      </c>
      <c r="L909" s="2" t="s">
        <v>9268</v>
      </c>
      <c r="M909" s="1" t="s">
        <v>12186</v>
      </c>
      <c r="P909" s="7" t="s">
        <v>1241</v>
      </c>
      <c r="Q909" s="13" t="str">
        <f>INDEX($L:$L, MATCH("flow", $B:$B, 0))</f>
        <v>&lt;span class="w"&gt;&lt;b&gt;【334.flow：流れる, 生じる】&lt;/b&gt;&lt;/span&gt;
&lt;span class="ml"&gt;印欧祖語*pleu-（流れる, 流動する）に由来する。
&lt;span class="spacer"&gt;&lt;/span&gt;印欧祖語から意味の変化はほとんどない。&lt;/span&gt;</v>
      </c>
      <c r="R909" s="13"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S909" s="13"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T909" s="13"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U909" s="13"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AV909" s="1" t="s">
        <v>1502</v>
      </c>
      <c r="BG909" s="7" t="s">
        <v>1503</v>
      </c>
      <c r="BH909" s="1" t="s">
        <v>1872</v>
      </c>
      <c r="BI909" s="1" t="s">
        <v>4949</v>
      </c>
      <c r="BJ909" s="1" t="s">
        <v>1875</v>
      </c>
      <c r="BK909" s="2" t="s">
        <v>4950</v>
      </c>
      <c r="BL909" s="1" t="s">
        <v>1877</v>
      </c>
      <c r="BM909" s="2" t="s">
        <v>4951</v>
      </c>
    </row>
    <row r="910" spans="1:69" ht="126" x14ac:dyDescent="0.45">
      <c r="A910" s="5">
        <v>909</v>
      </c>
      <c r="B910" s="6" t="s">
        <v>653</v>
      </c>
      <c r="C910" s="6" t="s">
        <v>1816</v>
      </c>
      <c r="D910" s="7" t="s">
        <v>9794</v>
      </c>
      <c r="E910" s="1" t="s">
        <v>653</v>
      </c>
      <c r="F910" s="1"/>
      <c r="G910" s="1"/>
      <c r="J910" s="1" t="s">
        <v>9795</v>
      </c>
      <c r="K910" s="2"/>
      <c r="L910" s="3" t="s">
        <v>9269</v>
      </c>
      <c r="P910" s="7" t="s">
        <v>1241</v>
      </c>
      <c r="AU910" s="15"/>
      <c r="AV910" s="1" t="s">
        <v>1502</v>
      </c>
      <c r="BG910" s="7" t="s">
        <v>1503</v>
      </c>
      <c r="BH910" s="1" t="s">
        <v>1947</v>
      </c>
      <c r="BI910" s="2" t="s">
        <v>4952</v>
      </c>
      <c r="BJ910" s="1" t="s">
        <v>1959</v>
      </c>
      <c r="BK910" s="1" t="s">
        <v>4953</v>
      </c>
      <c r="BL910" s="1" t="s">
        <v>1875</v>
      </c>
      <c r="BM910" s="2" t="s">
        <v>4954</v>
      </c>
    </row>
    <row r="911" spans="1:69" ht="162" x14ac:dyDescent="0.45">
      <c r="A911" s="5">
        <v>910</v>
      </c>
      <c r="B911" s="8" t="s">
        <v>654</v>
      </c>
      <c r="C911" s="6" t="s">
        <v>1816</v>
      </c>
      <c r="D911" s="7" t="s">
        <v>9794</v>
      </c>
      <c r="E911" s="1" t="s">
        <v>4501</v>
      </c>
      <c r="F911" s="1" t="s">
        <v>4955</v>
      </c>
      <c r="G911" s="1"/>
      <c r="J911" s="1" t="s">
        <v>9795</v>
      </c>
      <c r="K911" s="2" t="s">
        <v>9270</v>
      </c>
      <c r="L911" s="3" t="s">
        <v>9271</v>
      </c>
      <c r="M911" s="1" t="s">
        <v>12253</v>
      </c>
      <c r="P911" s="7" t="s">
        <v>1241</v>
      </c>
      <c r="Q911"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911"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911"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911"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911"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911"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911"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911"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911"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911"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911"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B911"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C911"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911"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911"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F911" s="13"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G911" s="13"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V911" s="1" t="s">
        <v>1502</v>
      </c>
      <c r="BG911" s="7" t="s">
        <v>1503</v>
      </c>
      <c r="BH911" s="1" t="s">
        <v>1976</v>
      </c>
      <c r="BI911" s="1" t="s">
        <v>3796</v>
      </c>
      <c r="BJ911" s="1" t="s">
        <v>1947</v>
      </c>
      <c r="BK911" s="2" t="s">
        <v>4956</v>
      </c>
      <c r="BL911" s="1" t="s">
        <v>1875</v>
      </c>
      <c r="BM911" s="2" t="s">
        <v>4957</v>
      </c>
      <c r="BN911" s="1" t="s">
        <v>1877</v>
      </c>
      <c r="BO911" s="2" t="s">
        <v>4958</v>
      </c>
    </row>
    <row r="912" spans="1:69" ht="126" x14ac:dyDescent="0.45">
      <c r="A912" s="5">
        <v>911</v>
      </c>
      <c r="B912" s="8" t="s">
        <v>655</v>
      </c>
      <c r="C912" s="6" t="s">
        <v>1816</v>
      </c>
      <c r="D912" s="7" t="s">
        <v>9794</v>
      </c>
      <c r="E912" s="1" t="s">
        <v>31</v>
      </c>
      <c r="F912" s="1" t="s">
        <v>1706</v>
      </c>
      <c r="G912" s="1"/>
      <c r="J912" s="1" t="s">
        <v>9795</v>
      </c>
      <c r="K912" s="2"/>
      <c r="L912" s="3" t="s">
        <v>9272</v>
      </c>
      <c r="P912" s="7" t="s">
        <v>1241</v>
      </c>
      <c r="Q912" s="13" t="str">
        <f>INDEX($L:$L, MATCH("announce", $B:$B, 0))</f>
        <v>&lt;span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v>
      </c>
      <c r="AU912" s="15"/>
      <c r="AV912" s="1" t="s">
        <v>1502</v>
      </c>
      <c r="BG912" s="7" t="s">
        <v>1503</v>
      </c>
      <c r="BH912" s="1" t="s">
        <v>1947</v>
      </c>
      <c r="BI912" s="2" t="s">
        <v>4959</v>
      </c>
      <c r="BJ912" s="1" t="s">
        <v>2036</v>
      </c>
      <c r="BK912" s="2" t="s">
        <v>4960</v>
      </c>
      <c r="BL912" s="1" t="s">
        <v>1959</v>
      </c>
      <c r="BM912" s="2" t="s">
        <v>4961</v>
      </c>
      <c r="BN912" s="1" t="s">
        <v>1875</v>
      </c>
      <c r="BO912" s="2" t="s">
        <v>4962</v>
      </c>
    </row>
    <row r="913" spans="1:69" ht="90" x14ac:dyDescent="0.45">
      <c r="A913" s="5">
        <v>912</v>
      </c>
      <c r="B913" s="6" t="s">
        <v>656</v>
      </c>
      <c r="C913" s="6" t="s">
        <v>1816</v>
      </c>
      <c r="D913" s="7" t="s">
        <v>9794</v>
      </c>
      <c r="E913" s="1" t="s">
        <v>656</v>
      </c>
      <c r="F913" s="1"/>
      <c r="G913" s="1"/>
      <c r="J913" s="1" t="s">
        <v>9795</v>
      </c>
      <c r="K913" s="1" t="s">
        <v>4963</v>
      </c>
      <c r="L913" s="2" t="s">
        <v>9273</v>
      </c>
      <c r="P913" s="7" t="s">
        <v>1241</v>
      </c>
      <c r="AU913" s="15"/>
      <c r="AV913" s="1" t="s">
        <v>1502</v>
      </c>
      <c r="BG913" s="7" t="s">
        <v>1503</v>
      </c>
      <c r="BH913" s="1" t="s">
        <v>1872</v>
      </c>
      <c r="BI913" s="2" t="s">
        <v>4964</v>
      </c>
      <c r="BJ913" s="1" t="s">
        <v>1875</v>
      </c>
      <c r="BK913" s="2" t="s">
        <v>4965</v>
      </c>
      <c r="BL913" s="1" t="s">
        <v>3497</v>
      </c>
      <c r="BM913" s="2" t="s">
        <v>4966</v>
      </c>
    </row>
    <row r="914" spans="1:69" ht="126" x14ac:dyDescent="0.45">
      <c r="A914" s="5">
        <v>913</v>
      </c>
      <c r="B914" s="6" t="s">
        <v>657</v>
      </c>
      <c r="C914" s="6" t="s">
        <v>1816</v>
      </c>
      <c r="D914" s="7" t="s">
        <v>9794</v>
      </c>
      <c r="E914" s="1" t="s">
        <v>1251</v>
      </c>
      <c r="F914" s="1" t="s">
        <v>53</v>
      </c>
      <c r="G914" s="1"/>
      <c r="J914" s="1" t="s">
        <v>9795</v>
      </c>
      <c r="K914" s="2"/>
      <c r="L914" s="2" t="s">
        <v>9274</v>
      </c>
      <c r="P914" s="7" t="s">
        <v>1241</v>
      </c>
      <c r="Q914"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914"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914"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914"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914"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914"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914"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914"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914"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914"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914"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B914"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C914"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D914"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914"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914" s="1" t="s">
        <v>1502</v>
      </c>
      <c r="BG914" s="7" t="s">
        <v>1503</v>
      </c>
      <c r="BH914" s="1" t="s">
        <v>1976</v>
      </c>
      <c r="BI914" s="1" t="s">
        <v>3796</v>
      </c>
      <c r="BJ914" s="1" t="s">
        <v>1947</v>
      </c>
      <c r="BK914" s="2" t="s">
        <v>4967</v>
      </c>
      <c r="BL914" s="1" t="s">
        <v>1959</v>
      </c>
      <c r="BM914" s="2" t="s">
        <v>4968</v>
      </c>
      <c r="BN914" s="1" t="s">
        <v>1875</v>
      </c>
      <c r="BO914" s="2" t="s">
        <v>4969</v>
      </c>
    </row>
    <row r="915" spans="1:69" ht="108" x14ac:dyDescent="0.45">
      <c r="A915" s="5">
        <v>914</v>
      </c>
      <c r="B915" s="6" t="s">
        <v>658</v>
      </c>
      <c r="C915" s="6" t="s">
        <v>1816</v>
      </c>
      <c r="D915" s="7" t="s">
        <v>9794</v>
      </c>
      <c r="E915" s="1" t="s">
        <v>658</v>
      </c>
      <c r="F915" s="1"/>
      <c r="G915" s="1"/>
      <c r="J915" s="1" t="s">
        <v>9795</v>
      </c>
      <c r="K915" s="1" t="s">
        <v>4970</v>
      </c>
      <c r="L915" s="2" t="s">
        <v>9275</v>
      </c>
      <c r="P915" s="7" t="s">
        <v>1241</v>
      </c>
      <c r="AV915" s="1" t="s">
        <v>1502</v>
      </c>
      <c r="BG915" s="7" t="s">
        <v>1503</v>
      </c>
      <c r="BH915" s="1" t="s">
        <v>4971</v>
      </c>
      <c r="BI915" s="1" t="s">
        <v>4972</v>
      </c>
      <c r="BJ915" s="1" t="s">
        <v>1877</v>
      </c>
      <c r="BK915" s="2" t="s">
        <v>4973</v>
      </c>
      <c r="BL915" s="1" t="s">
        <v>3497</v>
      </c>
      <c r="BM915" s="2" t="s">
        <v>4974</v>
      </c>
    </row>
    <row r="916" spans="1:69" ht="72" x14ac:dyDescent="0.45">
      <c r="A916" s="5">
        <v>915</v>
      </c>
      <c r="B916" s="6" t="s">
        <v>659</v>
      </c>
      <c r="C916" s="6" t="s">
        <v>1816</v>
      </c>
      <c r="D916" s="7" t="s">
        <v>9794</v>
      </c>
      <c r="E916" s="1" t="s">
        <v>659</v>
      </c>
      <c r="F916" s="1"/>
      <c r="G916" s="1"/>
      <c r="J916" s="1" t="s">
        <v>9795</v>
      </c>
      <c r="K916" s="1" t="s">
        <v>9276</v>
      </c>
      <c r="L916" s="2" t="s">
        <v>9277</v>
      </c>
      <c r="P916" s="7" t="s">
        <v>1241</v>
      </c>
      <c r="Q916" s="13" t="str">
        <f>INDEX($L:$L, MATCH("grasp", $B:$B, 0))</f>
        <v>&lt;span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v>
      </c>
      <c r="R916" s="13" t="str">
        <f>INDEX($L:$L, MATCH("grip", $B:$B, 0))</f>
        <v>&lt;span class="w"&gt;&lt;b&gt;【1113.grip：〜を握る】&lt;/b&gt;&lt;/span&gt;
&lt;span class="ml"&gt;古英語grippan（つかむ, 握る）にさかのぼる。
&lt;span class="spacer"&gt;&lt;/span&gt;古英語から意味の変化はない。&lt;/span&gt;</v>
      </c>
      <c r="AU916" s="15"/>
      <c r="AV916" s="1" t="s">
        <v>1502</v>
      </c>
      <c r="BG916" s="7" t="s">
        <v>1503</v>
      </c>
      <c r="BH916" s="1" t="s">
        <v>1976</v>
      </c>
      <c r="BI916" s="2" t="s">
        <v>9278</v>
      </c>
      <c r="BJ916" s="1" t="s">
        <v>4975</v>
      </c>
      <c r="BK916" s="1" t="s">
        <v>4976</v>
      </c>
      <c r="BL916" s="1" t="s">
        <v>1877</v>
      </c>
      <c r="BM916" s="2" t="s">
        <v>4977</v>
      </c>
    </row>
    <row r="917" spans="1:69" ht="144" x14ac:dyDescent="0.45">
      <c r="A917" s="5">
        <v>916</v>
      </c>
      <c r="B917" s="8" t="s">
        <v>660</v>
      </c>
      <c r="C917" s="6" t="s">
        <v>1816</v>
      </c>
      <c r="D917" s="7" t="s">
        <v>9794</v>
      </c>
      <c r="E917" s="1" t="s">
        <v>1251</v>
      </c>
      <c r="F917" s="1" t="s">
        <v>1332</v>
      </c>
      <c r="G917" s="1"/>
      <c r="J917" s="1" t="s">
        <v>9795</v>
      </c>
      <c r="K917" s="2"/>
      <c r="L917" s="3" t="s">
        <v>9279</v>
      </c>
      <c r="M917" s="1" t="s">
        <v>12211</v>
      </c>
      <c r="P917" s="7" t="s">
        <v>1241</v>
      </c>
      <c r="Q917"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917" s="13"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S917" s="13"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T917" s="13"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U917" s="13"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V917"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U917" s="15"/>
      <c r="AV917" s="1" t="s">
        <v>1502</v>
      </c>
      <c r="BG917" s="7" t="s">
        <v>1503</v>
      </c>
      <c r="BH917" s="1" t="s">
        <v>1947</v>
      </c>
      <c r="BI917" s="2" t="s">
        <v>4978</v>
      </c>
      <c r="BJ917" s="1" t="s">
        <v>1959</v>
      </c>
      <c r="BK917" s="2" t="s">
        <v>4979</v>
      </c>
      <c r="BL917" s="1" t="s">
        <v>1875</v>
      </c>
      <c r="BM917" s="2" t="s">
        <v>4980</v>
      </c>
      <c r="BN917" s="1" t="s">
        <v>1877</v>
      </c>
      <c r="BO917" s="2" t="s">
        <v>4981</v>
      </c>
    </row>
    <row r="918" spans="1:69" ht="126" x14ac:dyDescent="0.45">
      <c r="A918" s="5">
        <v>917</v>
      </c>
      <c r="B918" s="6" t="s">
        <v>661</v>
      </c>
      <c r="C918" s="6" t="s">
        <v>1816</v>
      </c>
      <c r="D918" s="7" t="s">
        <v>9794</v>
      </c>
      <c r="E918" s="1" t="s">
        <v>1251</v>
      </c>
      <c r="F918" s="1" t="s">
        <v>4982</v>
      </c>
      <c r="G918" s="1"/>
      <c r="J918" s="1" t="s">
        <v>9795</v>
      </c>
      <c r="L918" s="2" t="s">
        <v>9280</v>
      </c>
      <c r="M918" s="1" t="s">
        <v>12167</v>
      </c>
      <c r="P918" s="7" t="s">
        <v>1241</v>
      </c>
      <c r="Q918" s="13"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918" s="13"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918" s="13"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T918" s="13"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U918" s="13"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AU918" s="15"/>
      <c r="AV918" s="1" t="s">
        <v>1502</v>
      </c>
      <c r="BG918" s="7" t="s">
        <v>1503</v>
      </c>
      <c r="BH918" s="1" t="s">
        <v>1877</v>
      </c>
      <c r="BI918" s="2" t="s">
        <v>4983</v>
      </c>
    </row>
    <row r="919" spans="1:69" ht="72" x14ac:dyDescent="0.45">
      <c r="A919" s="5">
        <v>918</v>
      </c>
      <c r="B919" s="6" t="s">
        <v>662</v>
      </c>
      <c r="C919" s="6" t="s">
        <v>1816</v>
      </c>
      <c r="D919" s="7" t="s">
        <v>9794</v>
      </c>
      <c r="E919" s="1" t="s">
        <v>662</v>
      </c>
      <c r="F919" s="1"/>
      <c r="G919" s="1"/>
      <c r="J919" s="1" t="s">
        <v>9795</v>
      </c>
      <c r="K919" s="1" t="s">
        <v>4984</v>
      </c>
      <c r="L919" s="2" t="s">
        <v>9281</v>
      </c>
      <c r="P919" s="7" t="s">
        <v>1241</v>
      </c>
      <c r="AU919" s="15"/>
      <c r="AV919" s="1" t="s">
        <v>1502</v>
      </c>
      <c r="BG919" s="7" t="s">
        <v>1503</v>
      </c>
      <c r="BH919" s="1" t="s">
        <v>1875</v>
      </c>
      <c r="BI919" s="2" t="s">
        <v>4985</v>
      </c>
    </row>
    <row r="920" spans="1:69" ht="126" x14ac:dyDescent="0.45">
      <c r="A920" s="5">
        <v>919</v>
      </c>
      <c r="B920" s="8" t="s">
        <v>663</v>
      </c>
      <c r="C920" s="6" t="s">
        <v>1816</v>
      </c>
      <c r="D920" s="7" t="s">
        <v>9794</v>
      </c>
      <c r="E920" s="1" t="s">
        <v>4986</v>
      </c>
      <c r="F920" s="1" t="s">
        <v>1332</v>
      </c>
      <c r="G920" s="1"/>
      <c r="J920" s="1" t="s">
        <v>9795</v>
      </c>
      <c r="K920" s="1" t="s">
        <v>4987</v>
      </c>
      <c r="L920" s="2" t="s">
        <v>9282</v>
      </c>
      <c r="M920" s="1" t="s">
        <v>12211</v>
      </c>
      <c r="P920" s="7" t="s">
        <v>1241</v>
      </c>
      <c r="Q920"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920" s="13"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S920" s="13"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T920" s="13"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U920" s="13"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V920"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U920" s="15"/>
      <c r="AV920" s="1" t="s">
        <v>1502</v>
      </c>
      <c r="BG920" s="7" t="s">
        <v>1503</v>
      </c>
      <c r="BH920" s="1" t="s">
        <v>1947</v>
      </c>
      <c r="BI920" s="2" t="s">
        <v>4988</v>
      </c>
      <c r="BJ920" s="1" t="s">
        <v>1959</v>
      </c>
      <c r="BK920" s="2" t="s">
        <v>4989</v>
      </c>
      <c r="BL920" s="1" t="s">
        <v>1875</v>
      </c>
      <c r="BM920" s="2" t="s">
        <v>4990</v>
      </c>
      <c r="BN920" s="1" t="s">
        <v>1877</v>
      </c>
      <c r="BO920" s="2" t="s">
        <v>4991</v>
      </c>
    </row>
    <row r="921" spans="1:69" ht="234" x14ac:dyDescent="0.45">
      <c r="A921" s="5">
        <v>920</v>
      </c>
      <c r="B921" s="6" t="s">
        <v>664</v>
      </c>
      <c r="C921" s="6" t="s">
        <v>1816</v>
      </c>
      <c r="D921" s="7" t="s">
        <v>9794</v>
      </c>
      <c r="E921" s="1" t="s">
        <v>1730</v>
      </c>
      <c r="F921" s="1" t="s">
        <v>4992</v>
      </c>
      <c r="G921" s="1"/>
      <c r="J921" s="1" t="s">
        <v>9795</v>
      </c>
      <c r="L921" s="3" t="s">
        <v>9283</v>
      </c>
      <c r="P921" s="7" t="s">
        <v>1241</v>
      </c>
      <c r="AV921" s="1" t="s">
        <v>1502</v>
      </c>
      <c r="BG921" s="7" t="s">
        <v>1503</v>
      </c>
      <c r="BH921" s="1" t="s">
        <v>1947</v>
      </c>
      <c r="BI921" s="1" t="s">
        <v>4993</v>
      </c>
      <c r="BJ921" s="1" t="s">
        <v>1959</v>
      </c>
      <c r="BK921" s="2" t="s">
        <v>4994</v>
      </c>
      <c r="BL921" s="1" t="s">
        <v>1875</v>
      </c>
      <c r="BM921" s="2" t="s">
        <v>4995</v>
      </c>
      <c r="BN921" s="1" t="s">
        <v>1877</v>
      </c>
      <c r="BO921" s="2" t="s">
        <v>4996</v>
      </c>
    </row>
    <row r="922" spans="1:69" ht="126" x14ac:dyDescent="0.45">
      <c r="A922" s="5">
        <v>921</v>
      </c>
      <c r="B922" s="8" t="s">
        <v>665</v>
      </c>
      <c r="C922" s="6" t="s">
        <v>1816</v>
      </c>
      <c r="D922" s="7" t="s">
        <v>9794</v>
      </c>
      <c r="E922" s="1" t="s">
        <v>665</v>
      </c>
      <c r="F922" s="1"/>
      <c r="G922" s="1"/>
      <c r="J922" s="1" t="s">
        <v>9795</v>
      </c>
      <c r="K922" s="1" t="s">
        <v>4997</v>
      </c>
      <c r="L922" s="2" t="s">
        <v>9284</v>
      </c>
      <c r="M922" s="1" t="s">
        <v>12196</v>
      </c>
      <c r="P922" s="7" t="s">
        <v>1241</v>
      </c>
      <c r="Q922" s="13" t="str">
        <f>INDEX($L:$L, MATCH("culture", $B:$B, 0))</f>
        <v>&lt;span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v>
      </c>
      <c r="R922" s="13" t="str">
        <f>INDEX($L:$L, MATCH("agriculture", $B:$B, 0))</f>
        <v>&lt;span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v>
      </c>
      <c r="S922" s="13" t="str">
        <f>INDEX($L:$L, MATCH("colony", $B:$B, 0))</f>
        <v>&lt;span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v>
      </c>
      <c r="AU922" s="15"/>
      <c r="AV922" s="1" t="s">
        <v>1502</v>
      </c>
      <c r="BG922" s="7" t="s">
        <v>1503</v>
      </c>
      <c r="BH922" s="1" t="s">
        <v>1947</v>
      </c>
      <c r="BI922" s="2" t="s">
        <v>4998</v>
      </c>
      <c r="BJ922" s="1" t="s">
        <v>1967</v>
      </c>
      <c r="BK922" s="2" t="s">
        <v>4999</v>
      </c>
      <c r="BL922" s="1" t="s">
        <v>1877</v>
      </c>
      <c r="BM922" s="2" t="s">
        <v>5000</v>
      </c>
    </row>
    <row r="923" spans="1:69" ht="126" x14ac:dyDescent="0.45">
      <c r="A923" s="5">
        <v>922</v>
      </c>
      <c r="B923" s="6" t="s">
        <v>666</v>
      </c>
      <c r="C923" s="6" t="s">
        <v>1816</v>
      </c>
      <c r="D923" s="7" t="s">
        <v>9794</v>
      </c>
      <c r="E923" s="1" t="s">
        <v>5001</v>
      </c>
      <c r="F923" s="1" t="s">
        <v>5002</v>
      </c>
      <c r="G923" s="1"/>
      <c r="J923" s="1" t="s">
        <v>9795</v>
      </c>
      <c r="K923" s="1" t="s">
        <v>5003</v>
      </c>
      <c r="L923" s="2" t="s">
        <v>9285</v>
      </c>
      <c r="P923" s="7" t="s">
        <v>1241</v>
      </c>
      <c r="Q923" s="13" t="str">
        <f>INDEX($L:$L, MATCH("layer", $B:$B, 0))</f>
        <v>&lt;span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v>
      </c>
      <c r="AV923" s="1" t="s">
        <v>1502</v>
      </c>
      <c r="BG923" s="7" t="s">
        <v>1503</v>
      </c>
      <c r="BH923" s="1" t="s">
        <v>1872</v>
      </c>
      <c r="BI923" s="1" t="s">
        <v>5004</v>
      </c>
      <c r="BJ923" s="1" t="s">
        <v>1875</v>
      </c>
      <c r="BK923" s="1" t="s">
        <v>5005</v>
      </c>
      <c r="BL923" s="1" t="s">
        <v>1877</v>
      </c>
      <c r="BM923" s="2" t="s">
        <v>5006</v>
      </c>
    </row>
    <row r="924" spans="1:69" ht="144" x14ac:dyDescent="0.45">
      <c r="A924" s="5">
        <v>923</v>
      </c>
      <c r="B924" s="8" t="s">
        <v>667</v>
      </c>
      <c r="C924" s="6" t="s">
        <v>1816</v>
      </c>
      <c r="D924" s="7" t="s">
        <v>9794</v>
      </c>
      <c r="E924" s="1" t="s">
        <v>5007</v>
      </c>
      <c r="F924" s="1" t="s">
        <v>5008</v>
      </c>
      <c r="G924" s="1"/>
      <c r="J924" s="1" t="s">
        <v>9795</v>
      </c>
      <c r="L924" s="3" t="s">
        <v>9286</v>
      </c>
      <c r="M924" s="1" t="s">
        <v>12249</v>
      </c>
      <c r="P924" s="7" t="s">
        <v>1241</v>
      </c>
      <c r="Q924" s="13"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R924"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S924" s="13"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T924" s="13"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U924" s="13"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V924" s="13"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AU924" s="15"/>
      <c r="AV924" s="1" t="s">
        <v>1502</v>
      </c>
      <c r="BG924" s="7" t="s">
        <v>1503</v>
      </c>
      <c r="BH924" s="1" t="s">
        <v>1947</v>
      </c>
      <c r="BI924" s="2" t="s">
        <v>5009</v>
      </c>
      <c r="BJ924" s="1" t="s">
        <v>1877</v>
      </c>
      <c r="BK924" s="2" t="s">
        <v>5010</v>
      </c>
    </row>
    <row r="925" spans="1:69" ht="144" x14ac:dyDescent="0.45">
      <c r="A925" s="5">
        <v>924</v>
      </c>
      <c r="B925" s="6" t="s">
        <v>668</v>
      </c>
      <c r="C925" s="6" t="s">
        <v>1816</v>
      </c>
      <c r="D925" s="7" t="s">
        <v>9794</v>
      </c>
      <c r="E925" s="1" t="s">
        <v>5011</v>
      </c>
      <c r="F925" s="1" t="s">
        <v>1422</v>
      </c>
      <c r="G925" s="1"/>
      <c r="J925" s="1" t="s">
        <v>9795</v>
      </c>
      <c r="K925" s="2" t="s">
        <v>9287</v>
      </c>
      <c r="L925" s="2" t="s">
        <v>9288</v>
      </c>
      <c r="P925" s="7" t="s">
        <v>1241</v>
      </c>
      <c r="Q925"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R925"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S925" s="13" t="s">
        <v>12156</v>
      </c>
      <c r="T925" s="13" t="s">
        <v>12157</v>
      </c>
      <c r="AU925" s="15"/>
      <c r="AV925" s="1" t="s">
        <v>1502</v>
      </c>
      <c r="BG925" s="7" t="s">
        <v>1503</v>
      </c>
      <c r="BH925" s="1" t="s">
        <v>1947</v>
      </c>
      <c r="BI925" s="2" t="s">
        <v>5012</v>
      </c>
      <c r="BJ925" s="1" t="s">
        <v>2036</v>
      </c>
      <c r="BK925" s="2" t="s">
        <v>5013</v>
      </c>
      <c r="BL925" s="1" t="s">
        <v>1959</v>
      </c>
      <c r="BM925" s="2" t="s">
        <v>5014</v>
      </c>
      <c r="BN925" s="1" t="s">
        <v>1875</v>
      </c>
      <c r="BO925" s="2" t="s">
        <v>5015</v>
      </c>
      <c r="BP925" s="1" t="s">
        <v>1877</v>
      </c>
      <c r="BQ925" s="2" t="s">
        <v>5016</v>
      </c>
    </row>
    <row r="926" spans="1:69" ht="126" x14ac:dyDescent="0.45">
      <c r="A926" s="5">
        <v>925</v>
      </c>
      <c r="B926" s="6" t="s">
        <v>669</v>
      </c>
      <c r="C926" s="6" t="s">
        <v>1816</v>
      </c>
      <c r="D926" s="7" t="s">
        <v>9794</v>
      </c>
      <c r="E926" s="1" t="s">
        <v>669</v>
      </c>
      <c r="F926" s="1"/>
      <c r="G926" s="1"/>
      <c r="J926" s="1" t="s">
        <v>9795</v>
      </c>
      <c r="K926" s="2" t="s">
        <v>9289</v>
      </c>
      <c r="L926" s="2" t="s">
        <v>9290</v>
      </c>
      <c r="P926" s="7" t="s">
        <v>1241</v>
      </c>
      <c r="AV926" s="1" t="s">
        <v>1502</v>
      </c>
      <c r="BG926" s="7" t="s">
        <v>1503</v>
      </c>
      <c r="BH926" s="1" t="s">
        <v>1947</v>
      </c>
      <c r="BI926" s="1" t="s">
        <v>5017</v>
      </c>
      <c r="BJ926" s="1" t="s">
        <v>2036</v>
      </c>
      <c r="BK926" s="2" t="s">
        <v>5018</v>
      </c>
      <c r="BL926" s="1" t="s">
        <v>1875</v>
      </c>
      <c r="BM926" s="2" t="s">
        <v>5019</v>
      </c>
      <c r="BN926" s="1" t="s">
        <v>1877</v>
      </c>
      <c r="BO926" s="2" t="s">
        <v>5020</v>
      </c>
    </row>
    <row r="927" spans="1:69" ht="180" x14ac:dyDescent="0.45">
      <c r="A927" s="5">
        <v>926</v>
      </c>
      <c r="B927" s="6" t="s">
        <v>670</v>
      </c>
      <c r="C927" s="6" t="s">
        <v>1816</v>
      </c>
      <c r="D927" s="7" t="s">
        <v>9794</v>
      </c>
      <c r="E927" s="1" t="s">
        <v>670</v>
      </c>
      <c r="F927" s="1"/>
      <c r="G927" s="1"/>
      <c r="J927" s="1" t="s">
        <v>9795</v>
      </c>
      <c r="L927" s="2" t="s">
        <v>9291</v>
      </c>
      <c r="P927" s="7" t="s">
        <v>1241</v>
      </c>
      <c r="AV927" s="1" t="s">
        <v>1502</v>
      </c>
      <c r="BG927" s="7" t="s">
        <v>1503</v>
      </c>
      <c r="BH927" s="1" t="s">
        <v>1947</v>
      </c>
      <c r="BI927" s="1" t="s">
        <v>9292</v>
      </c>
      <c r="BJ927" s="1" t="s">
        <v>2036</v>
      </c>
      <c r="BK927" s="1" t="s">
        <v>5021</v>
      </c>
      <c r="BL927" s="1" t="s">
        <v>1875</v>
      </c>
      <c r="BM927" s="2" t="s">
        <v>5022</v>
      </c>
      <c r="BN927" s="1" t="s">
        <v>1877</v>
      </c>
      <c r="BO927" s="2" t="s">
        <v>5023</v>
      </c>
      <c r="BP927" s="1" t="s">
        <v>3497</v>
      </c>
      <c r="BQ927" s="2" t="s">
        <v>5024</v>
      </c>
    </row>
    <row r="928" spans="1:69" ht="126" x14ac:dyDescent="0.45">
      <c r="A928" s="5">
        <v>927</v>
      </c>
      <c r="B928" s="8" t="s">
        <v>671</v>
      </c>
      <c r="C928" s="6" t="s">
        <v>1816</v>
      </c>
      <c r="D928" s="7" t="s">
        <v>9794</v>
      </c>
      <c r="E928" s="1" t="s">
        <v>5025</v>
      </c>
      <c r="F928" s="1" t="s">
        <v>1422</v>
      </c>
      <c r="G928" s="1"/>
      <c r="J928" s="1" t="s">
        <v>9795</v>
      </c>
      <c r="L928" s="2" t="s">
        <v>9293</v>
      </c>
      <c r="P928" s="7" t="s">
        <v>1241</v>
      </c>
      <c r="Q928" s="13" t="str">
        <f>INDEX($L:$L, MATCH("classic", $B:$B, 0))</f>
        <v>&lt;span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v>
      </c>
      <c r="AU928" s="15"/>
      <c r="AV928" s="1" t="s">
        <v>1502</v>
      </c>
      <c r="BG928" s="7" t="s">
        <v>1503</v>
      </c>
      <c r="BH928" s="1" t="s">
        <v>1947</v>
      </c>
      <c r="BI928" s="2" t="s">
        <v>5026</v>
      </c>
      <c r="BJ928" s="1" t="s">
        <v>1996</v>
      </c>
      <c r="BK928" s="2" t="s">
        <v>5027</v>
      </c>
      <c r="BL928" s="1" t="s">
        <v>1877</v>
      </c>
      <c r="BM928" s="2" t="s">
        <v>5028</v>
      </c>
      <c r="BN928" s="1" t="s">
        <v>3497</v>
      </c>
      <c r="BO928" s="2" t="s">
        <v>5029</v>
      </c>
    </row>
    <row r="929" spans="1:69" ht="162" x14ac:dyDescent="0.45">
      <c r="A929" s="5">
        <v>928</v>
      </c>
      <c r="B929" s="8" t="s">
        <v>672</v>
      </c>
      <c r="C929" s="6" t="s">
        <v>1816</v>
      </c>
      <c r="D929" s="7" t="s">
        <v>9794</v>
      </c>
      <c r="E929" s="1" t="s">
        <v>4501</v>
      </c>
      <c r="F929" s="1" t="s">
        <v>1614</v>
      </c>
      <c r="G929" s="1"/>
      <c r="J929" s="1" t="s">
        <v>9795</v>
      </c>
      <c r="L929" s="3" t="s">
        <v>9294</v>
      </c>
      <c r="M929" s="1" t="s">
        <v>12257</v>
      </c>
      <c r="P929" s="7" t="s">
        <v>1241</v>
      </c>
      <c r="Q929" s="13"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929" s="13"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S929" s="13"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T929" s="13"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U929" s="13"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AU929" s="15"/>
      <c r="AV929" s="1" t="s">
        <v>1502</v>
      </c>
      <c r="BG929" s="7" t="s">
        <v>1503</v>
      </c>
      <c r="BH929" s="1" t="s">
        <v>1947</v>
      </c>
      <c r="BI929" s="2" t="s">
        <v>5030</v>
      </c>
      <c r="BJ929" s="1" t="s">
        <v>1875</v>
      </c>
      <c r="BK929" s="2" t="s">
        <v>5031</v>
      </c>
      <c r="BL929" s="1" t="s">
        <v>1877</v>
      </c>
      <c r="BM929" s="2" t="s">
        <v>5032</v>
      </c>
    </row>
    <row r="930" spans="1:69" ht="54" x14ac:dyDescent="0.45">
      <c r="A930" s="5">
        <v>929</v>
      </c>
      <c r="B930" s="6" t="s">
        <v>673</v>
      </c>
      <c r="C930" s="6" t="s">
        <v>1816</v>
      </c>
      <c r="D930" s="7" t="s">
        <v>9794</v>
      </c>
      <c r="E930" s="1" t="s">
        <v>673</v>
      </c>
      <c r="F930" s="1"/>
      <c r="G930" s="1"/>
      <c r="J930" s="1" t="s">
        <v>9795</v>
      </c>
      <c r="K930" s="2" t="s">
        <v>9295</v>
      </c>
      <c r="L930" s="2" t="s">
        <v>9296</v>
      </c>
      <c r="P930" s="7" t="s">
        <v>1241</v>
      </c>
      <c r="AU930" s="15"/>
      <c r="AV930" s="1" t="s">
        <v>1502</v>
      </c>
      <c r="BG930" s="7" t="s">
        <v>1503</v>
      </c>
      <c r="BH930" s="1" t="s">
        <v>2458</v>
      </c>
      <c r="BI930" s="2" t="s">
        <v>5033</v>
      </c>
      <c r="BJ930" s="1" t="s">
        <v>1947</v>
      </c>
      <c r="BK930" s="2" t="s">
        <v>5034</v>
      </c>
      <c r="BL930" s="1" t="s">
        <v>2036</v>
      </c>
      <c r="BM930" s="1" t="s">
        <v>5035</v>
      </c>
      <c r="BN930" s="1" t="s">
        <v>1996</v>
      </c>
      <c r="BO930" s="1" t="s">
        <v>5036</v>
      </c>
      <c r="BP930" s="1" t="s">
        <v>1877</v>
      </c>
      <c r="BQ930" s="2" t="s">
        <v>5037</v>
      </c>
    </row>
    <row r="931" spans="1:69" ht="126" x14ac:dyDescent="0.45">
      <c r="A931" s="5">
        <v>930</v>
      </c>
      <c r="B931" s="8" t="s">
        <v>674</v>
      </c>
      <c r="C931" s="6" t="s">
        <v>1816</v>
      </c>
      <c r="D931" s="7" t="s">
        <v>9794</v>
      </c>
      <c r="E931" s="1" t="s">
        <v>674</v>
      </c>
      <c r="F931" s="1"/>
      <c r="G931" s="1"/>
      <c r="J931" s="1" t="s">
        <v>9795</v>
      </c>
      <c r="L931" s="2" t="s">
        <v>9297</v>
      </c>
      <c r="P931" s="7" t="s">
        <v>5038</v>
      </c>
      <c r="AU931" s="15"/>
      <c r="AV931" s="1" t="s">
        <v>1502</v>
      </c>
      <c r="BG931" s="7" t="s">
        <v>1503</v>
      </c>
      <c r="BH931" s="1" t="s">
        <v>1872</v>
      </c>
      <c r="BI931" s="2" t="s">
        <v>5039</v>
      </c>
      <c r="BJ931" s="1" t="s">
        <v>1875</v>
      </c>
      <c r="BK931" s="2" t="s">
        <v>5040</v>
      </c>
    </row>
    <row r="932" spans="1:69" ht="108" x14ac:dyDescent="0.45">
      <c r="A932" s="5">
        <v>931</v>
      </c>
      <c r="B932" s="6" t="s">
        <v>675</v>
      </c>
      <c r="C932" s="6" t="s">
        <v>1816</v>
      </c>
      <c r="D932" s="7" t="s">
        <v>9794</v>
      </c>
      <c r="E932" s="1" t="s">
        <v>675</v>
      </c>
      <c r="F932" s="1"/>
      <c r="G932" s="1"/>
      <c r="J932" s="1" t="s">
        <v>9795</v>
      </c>
      <c r="K932" s="3" t="s">
        <v>9298</v>
      </c>
      <c r="L932" s="2" t="s">
        <v>9299</v>
      </c>
      <c r="P932" s="7" t="s">
        <v>1241</v>
      </c>
      <c r="AU932" s="15"/>
      <c r="AV932" s="1" t="s">
        <v>1502</v>
      </c>
      <c r="BG932" s="7" t="s">
        <v>1503</v>
      </c>
      <c r="BH932" s="1" t="s">
        <v>1877</v>
      </c>
      <c r="BI932" s="2" t="s">
        <v>5041</v>
      </c>
    </row>
    <row r="933" spans="1:69" ht="72" x14ac:dyDescent="0.45">
      <c r="A933" s="5">
        <v>932</v>
      </c>
      <c r="B933" s="6" t="s">
        <v>676</v>
      </c>
      <c r="C933" s="6" t="s">
        <v>1816</v>
      </c>
      <c r="D933" s="7" t="s">
        <v>9794</v>
      </c>
      <c r="E933" s="1" t="s">
        <v>676</v>
      </c>
      <c r="F933" s="1"/>
      <c r="G933" s="1"/>
      <c r="J933" s="1" t="s">
        <v>9795</v>
      </c>
      <c r="K933" s="2" t="s">
        <v>9300</v>
      </c>
      <c r="L933" s="2" t="s">
        <v>9301</v>
      </c>
      <c r="P933" s="7" t="s">
        <v>1241</v>
      </c>
      <c r="AU933" s="15"/>
      <c r="AV933" s="1" t="s">
        <v>1502</v>
      </c>
      <c r="BG933" s="7" t="s">
        <v>1503</v>
      </c>
      <c r="BH933" s="1" t="s">
        <v>1872</v>
      </c>
      <c r="BI933" s="2" t="s">
        <v>5042</v>
      </c>
      <c r="BJ933" s="1" t="s">
        <v>1875</v>
      </c>
      <c r="BK933" s="2" t="s">
        <v>5043</v>
      </c>
    </row>
    <row r="934" spans="1:69" ht="108" x14ac:dyDescent="0.45">
      <c r="A934" s="5">
        <v>933</v>
      </c>
      <c r="B934" s="6" t="s">
        <v>677</v>
      </c>
      <c r="C934" s="6" t="s">
        <v>1816</v>
      </c>
      <c r="D934" s="7" t="s">
        <v>9794</v>
      </c>
      <c r="E934" s="1" t="s">
        <v>677</v>
      </c>
      <c r="F934" s="1"/>
      <c r="G934" s="1"/>
      <c r="J934" s="1" t="s">
        <v>9795</v>
      </c>
      <c r="L934" s="3" t="s">
        <v>9302</v>
      </c>
      <c r="P934" s="7" t="s">
        <v>1241</v>
      </c>
      <c r="AU934" s="15"/>
      <c r="AV934" s="1" t="s">
        <v>1502</v>
      </c>
      <c r="BG934" s="7" t="s">
        <v>1503</v>
      </c>
      <c r="BH934" s="1" t="s">
        <v>1947</v>
      </c>
      <c r="BI934" s="2" t="s">
        <v>9303</v>
      </c>
      <c r="BJ934" s="1" t="s">
        <v>1877</v>
      </c>
      <c r="BK934" s="2" t="s">
        <v>5044</v>
      </c>
    </row>
    <row r="935" spans="1:69" ht="108" x14ac:dyDescent="0.45">
      <c r="A935" s="5">
        <v>934</v>
      </c>
      <c r="B935" s="6" t="s">
        <v>678</v>
      </c>
      <c r="C935" s="6" t="s">
        <v>1816</v>
      </c>
      <c r="D935" s="7" t="s">
        <v>9794</v>
      </c>
      <c r="E935" s="1" t="s">
        <v>678</v>
      </c>
      <c r="F935" s="1"/>
      <c r="G935" s="1"/>
      <c r="J935" s="1" t="s">
        <v>9795</v>
      </c>
      <c r="L935" s="2" t="s">
        <v>9304</v>
      </c>
      <c r="P935" s="7" t="s">
        <v>1241</v>
      </c>
      <c r="AV935" s="1" t="s">
        <v>1502</v>
      </c>
      <c r="BG935" s="7" t="s">
        <v>1503</v>
      </c>
      <c r="BH935" s="1" t="s">
        <v>3414</v>
      </c>
      <c r="BI935" s="1" t="s">
        <v>5045</v>
      </c>
      <c r="BJ935" s="1" t="s">
        <v>5046</v>
      </c>
      <c r="BK935" s="1" t="s">
        <v>5047</v>
      </c>
      <c r="BL935" s="1" t="s">
        <v>1875</v>
      </c>
      <c r="BM935" s="2" t="s">
        <v>5048</v>
      </c>
      <c r="BN935" s="1" t="s">
        <v>1877</v>
      </c>
      <c r="BO935" s="2" t="s">
        <v>5049</v>
      </c>
    </row>
    <row r="936" spans="1:69" ht="144" x14ac:dyDescent="0.45">
      <c r="A936" s="5">
        <v>935</v>
      </c>
      <c r="B936" s="6" t="s">
        <v>679</v>
      </c>
      <c r="C936" s="6" t="s">
        <v>1816</v>
      </c>
      <c r="D936" s="7" t="s">
        <v>9794</v>
      </c>
      <c r="E936" s="1" t="s">
        <v>679</v>
      </c>
      <c r="F936" s="1"/>
      <c r="G936" s="1"/>
      <c r="J936" s="1" t="s">
        <v>9795</v>
      </c>
      <c r="K936" s="1" t="s">
        <v>5050</v>
      </c>
      <c r="L936" s="2" t="s">
        <v>9305</v>
      </c>
      <c r="P936" s="7" t="s">
        <v>1241</v>
      </c>
      <c r="AV936" s="1" t="s">
        <v>1502</v>
      </c>
      <c r="BG936" s="7" t="s">
        <v>1503</v>
      </c>
      <c r="BH936" s="1" t="s">
        <v>1947</v>
      </c>
      <c r="BI936" s="1" t="s">
        <v>5051</v>
      </c>
      <c r="BJ936" s="1" t="s">
        <v>2026</v>
      </c>
      <c r="BK936" s="1" t="s">
        <v>5052</v>
      </c>
      <c r="BL936" s="1" t="s">
        <v>1959</v>
      </c>
      <c r="BM936" s="1" t="s">
        <v>5053</v>
      </c>
      <c r="BN936" s="1" t="s">
        <v>1875</v>
      </c>
      <c r="BO936" s="2" t="s">
        <v>5054</v>
      </c>
      <c r="BP936" s="1" t="s">
        <v>1877</v>
      </c>
      <c r="BQ936" s="2" t="s">
        <v>5055</v>
      </c>
    </row>
    <row r="937" spans="1:69" ht="126" x14ac:dyDescent="0.45">
      <c r="A937" s="5" t="s">
        <v>5056</v>
      </c>
      <c r="B937" s="8" t="s">
        <v>680</v>
      </c>
      <c r="C937" s="6" t="s">
        <v>1816</v>
      </c>
      <c r="D937" s="7" t="s">
        <v>9794</v>
      </c>
      <c r="E937" s="1" t="s">
        <v>1413</v>
      </c>
      <c r="F937" s="1" t="s">
        <v>5057</v>
      </c>
      <c r="G937" s="1"/>
      <c r="J937" s="1" t="s">
        <v>9795</v>
      </c>
      <c r="L937" s="3" t="s">
        <v>9306</v>
      </c>
      <c r="M937" s="1" t="s">
        <v>12223</v>
      </c>
      <c r="P937" s="7" t="s">
        <v>1241</v>
      </c>
      <c r="Q937"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937"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937"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T937"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U937"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V937"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937"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937"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937"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937"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937" s="15"/>
      <c r="AV937" s="1" t="s">
        <v>1502</v>
      </c>
      <c r="BG937" s="7" t="s">
        <v>1503</v>
      </c>
      <c r="BH937" s="1" t="s">
        <v>1947</v>
      </c>
      <c r="BI937" s="2" t="s">
        <v>5058</v>
      </c>
      <c r="BJ937" s="1" t="s">
        <v>1959</v>
      </c>
      <c r="BK937" s="2" t="s">
        <v>5059</v>
      </c>
      <c r="BL937" s="1" t="s">
        <v>1875</v>
      </c>
      <c r="BM937" s="2" t="s">
        <v>5060</v>
      </c>
    </row>
    <row r="938" spans="1:69" ht="144" x14ac:dyDescent="0.45">
      <c r="A938" s="5">
        <v>937</v>
      </c>
      <c r="B938" s="6" t="s">
        <v>681</v>
      </c>
      <c r="C938" s="6" t="s">
        <v>1816</v>
      </c>
      <c r="D938" s="7" t="s">
        <v>9794</v>
      </c>
      <c r="E938" s="1" t="s">
        <v>5001</v>
      </c>
      <c r="F938" s="1" t="s">
        <v>5061</v>
      </c>
      <c r="G938" s="1"/>
      <c r="J938" s="1" t="s">
        <v>9795</v>
      </c>
      <c r="K938" s="1" t="s">
        <v>5062</v>
      </c>
      <c r="L938" s="2" t="s">
        <v>9307</v>
      </c>
      <c r="P938" s="7" t="s">
        <v>1241</v>
      </c>
      <c r="Q938" s="13" t="str">
        <f>INDEX($L:$L, MATCH("ongoing", $B:$B, 0))</f>
        <v>&lt;span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v>
      </c>
      <c r="AU938" s="15"/>
      <c r="AV938" s="1" t="s">
        <v>1502</v>
      </c>
      <c r="BG938" s="7" t="s">
        <v>1503</v>
      </c>
      <c r="BH938" s="1" t="s">
        <v>1872</v>
      </c>
      <c r="BI938" s="2" t="s">
        <v>5063</v>
      </c>
      <c r="BJ938" s="1" t="s">
        <v>1875</v>
      </c>
      <c r="BK938" s="2" t="s">
        <v>5064</v>
      </c>
      <c r="BL938" s="1" t="s">
        <v>1877</v>
      </c>
      <c r="BM938" s="2" t="s">
        <v>5065</v>
      </c>
    </row>
    <row r="939" spans="1:69" ht="126" x14ac:dyDescent="0.45">
      <c r="A939" s="5">
        <v>938</v>
      </c>
      <c r="B939" s="6" t="s">
        <v>682</v>
      </c>
      <c r="C939" s="6" t="s">
        <v>1816</v>
      </c>
      <c r="D939" s="7" t="s">
        <v>9794</v>
      </c>
      <c r="E939" s="1" t="s">
        <v>46</v>
      </c>
      <c r="F939" s="1" t="s">
        <v>5066</v>
      </c>
      <c r="G939" s="1"/>
      <c r="J939" s="1" t="s">
        <v>9795</v>
      </c>
      <c r="L939" s="2" t="s">
        <v>9308</v>
      </c>
      <c r="P939" s="7" t="s">
        <v>1241</v>
      </c>
      <c r="AU939" s="15"/>
      <c r="AV939" s="1" t="s">
        <v>1502</v>
      </c>
      <c r="BG939" s="7" t="s">
        <v>1503</v>
      </c>
      <c r="BH939" s="1" t="s">
        <v>1947</v>
      </c>
      <c r="BI939" s="2" t="s">
        <v>5067</v>
      </c>
      <c r="BJ939" s="1" t="s">
        <v>2036</v>
      </c>
      <c r="BK939" s="2" t="s">
        <v>9309</v>
      </c>
      <c r="BL939" s="1" t="s">
        <v>1996</v>
      </c>
      <c r="BM939" s="2" t="s">
        <v>5068</v>
      </c>
      <c r="BN939" s="1" t="s">
        <v>1877</v>
      </c>
      <c r="BO939" s="2" t="s">
        <v>5069</v>
      </c>
    </row>
    <row r="940" spans="1:69" ht="144" x14ac:dyDescent="0.45">
      <c r="A940" s="5">
        <v>939</v>
      </c>
      <c r="B940" s="6" t="s">
        <v>683</v>
      </c>
      <c r="C940" s="6" t="s">
        <v>1816</v>
      </c>
      <c r="D940" s="7" t="s">
        <v>9794</v>
      </c>
      <c r="E940" s="1" t="s">
        <v>46</v>
      </c>
      <c r="F940" s="1" t="s">
        <v>5070</v>
      </c>
      <c r="G940" s="1"/>
      <c r="J940" s="1" t="s">
        <v>9795</v>
      </c>
      <c r="L940" s="2" t="s">
        <v>9310</v>
      </c>
      <c r="P940" s="7" t="s">
        <v>1241</v>
      </c>
      <c r="AV940" s="1" t="s">
        <v>1502</v>
      </c>
      <c r="BG940" s="7" t="s">
        <v>1503</v>
      </c>
      <c r="BH940" s="1" t="s">
        <v>5071</v>
      </c>
      <c r="BI940" s="1" t="s">
        <v>5072</v>
      </c>
      <c r="BJ940" s="1" t="s">
        <v>1947</v>
      </c>
      <c r="BK940" s="2" t="s">
        <v>5073</v>
      </c>
      <c r="BL940" s="1" t="s">
        <v>1996</v>
      </c>
      <c r="BM940" s="2" t="s">
        <v>5074</v>
      </c>
      <c r="BN940" s="1" t="s">
        <v>1877</v>
      </c>
      <c r="BO940" s="2" t="s">
        <v>5075</v>
      </c>
    </row>
    <row r="941" spans="1:69" ht="126" x14ac:dyDescent="0.45">
      <c r="A941" s="5">
        <v>940</v>
      </c>
      <c r="B941" s="6" t="s">
        <v>684</v>
      </c>
      <c r="C941" s="6" t="s">
        <v>1816</v>
      </c>
      <c r="D941" s="7" t="s">
        <v>9794</v>
      </c>
      <c r="E941" s="1" t="s">
        <v>1821</v>
      </c>
      <c r="F941" s="1" t="s">
        <v>5076</v>
      </c>
      <c r="G941" s="1"/>
      <c r="J941" s="1" t="s">
        <v>9795</v>
      </c>
      <c r="L941" s="2" t="s">
        <v>9311</v>
      </c>
      <c r="P941" s="7" t="s">
        <v>1241</v>
      </c>
      <c r="AU941" s="15"/>
      <c r="AV941" s="1" t="s">
        <v>1502</v>
      </c>
      <c r="BG941" s="7" t="s">
        <v>1503</v>
      </c>
      <c r="BH941" s="1" t="s">
        <v>1872</v>
      </c>
      <c r="BI941" s="2" t="s">
        <v>5077</v>
      </c>
      <c r="BJ941" s="1" t="s">
        <v>1875</v>
      </c>
      <c r="BK941" s="2" t="s">
        <v>5078</v>
      </c>
    </row>
    <row r="942" spans="1:69" ht="144" x14ac:dyDescent="0.45">
      <c r="A942" s="5">
        <v>941</v>
      </c>
      <c r="B942" s="8" t="s">
        <v>685</v>
      </c>
      <c r="C942" s="6" t="s">
        <v>6851</v>
      </c>
      <c r="D942" s="7" t="s">
        <v>9794</v>
      </c>
      <c r="E942" s="1" t="s">
        <v>9040</v>
      </c>
      <c r="F942" s="1" t="s">
        <v>9041</v>
      </c>
      <c r="G942" s="1"/>
      <c r="J942" s="1" t="s">
        <v>9795</v>
      </c>
      <c r="K942" s="1" t="s">
        <v>9312</v>
      </c>
      <c r="L942" s="2" t="s">
        <v>9313</v>
      </c>
      <c r="P942" s="7" t="s">
        <v>1241</v>
      </c>
      <c r="Q942" s="13"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R942" s="13"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U942" s="15"/>
      <c r="AV942" s="1" t="s">
        <v>1502</v>
      </c>
      <c r="BG942" s="7" t="s">
        <v>1503</v>
      </c>
      <c r="BH942" s="1" t="s">
        <v>2034</v>
      </c>
      <c r="BI942" s="2" t="s">
        <v>5085</v>
      </c>
      <c r="BJ942" s="1" t="s">
        <v>2147</v>
      </c>
      <c r="BK942" s="2" t="s">
        <v>5086</v>
      </c>
      <c r="BL942" s="1" t="s">
        <v>1504</v>
      </c>
      <c r="BM942" s="1" t="s">
        <v>5087</v>
      </c>
      <c r="BN942" s="1" t="s">
        <v>2044</v>
      </c>
      <c r="BO942" s="2" t="s">
        <v>5088</v>
      </c>
    </row>
    <row r="943" spans="1:69" ht="126" x14ac:dyDescent="0.45">
      <c r="A943" s="5">
        <v>942</v>
      </c>
      <c r="B943" s="8" t="s">
        <v>5089</v>
      </c>
      <c r="C943" s="6" t="s">
        <v>6851</v>
      </c>
      <c r="D943" s="7" t="s">
        <v>9794</v>
      </c>
      <c r="E943" s="1" t="s">
        <v>1001</v>
      </c>
      <c r="F943" s="1" t="s">
        <v>1584</v>
      </c>
      <c r="G943" s="1"/>
      <c r="J943" s="1" t="s">
        <v>9795</v>
      </c>
      <c r="K943" s="2" t="s">
        <v>9314</v>
      </c>
      <c r="L943" s="2" t="s">
        <v>9315</v>
      </c>
      <c r="M943" s="1" t="s">
        <v>12261</v>
      </c>
      <c r="P943" s="7" t="s">
        <v>1241</v>
      </c>
      <c r="Q943" s="13"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943" s="13"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943" s="13"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943" s="13"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U943" s="13"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V943" s="13"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AU943" s="15"/>
      <c r="AV943" s="1" t="s">
        <v>1502</v>
      </c>
      <c r="BG943" s="7" t="s">
        <v>1503</v>
      </c>
      <c r="BH943" s="1" t="s">
        <v>2034</v>
      </c>
      <c r="BI943" s="2" t="s">
        <v>5090</v>
      </c>
      <c r="BJ943" s="1" t="s">
        <v>1504</v>
      </c>
      <c r="BK943" s="1" t="s">
        <v>5091</v>
      </c>
      <c r="BL943" s="1" t="s">
        <v>2044</v>
      </c>
      <c r="BM943" s="2" t="s">
        <v>5092</v>
      </c>
      <c r="BN943" s="1" t="s">
        <v>1883</v>
      </c>
      <c r="BO943" s="2" t="s">
        <v>5093</v>
      </c>
    </row>
    <row r="944" spans="1:69" ht="378" x14ac:dyDescent="0.45">
      <c r="A944" s="5">
        <v>943</v>
      </c>
      <c r="B944" s="8" t="s">
        <v>5094</v>
      </c>
      <c r="C944" s="6" t="s">
        <v>6851</v>
      </c>
      <c r="D944" s="7" t="s">
        <v>9794</v>
      </c>
      <c r="E944" s="1" t="s">
        <v>1631</v>
      </c>
      <c r="F944" s="1" t="s">
        <v>9042</v>
      </c>
      <c r="G944" s="1" t="s">
        <v>1584</v>
      </c>
      <c r="J944" s="1" t="s">
        <v>9795</v>
      </c>
      <c r="K944" s="2" t="s">
        <v>9316</v>
      </c>
      <c r="L944" s="3" t="s">
        <v>10315</v>
      </c>
      <c r="P944" s="7" t="s">
        <v>1241</v>
      </c>
      <c r="Q944" s="13" t="str">
        <f>INDEX($L:$L, MATCH("measure", $B:$B, 0))</f>
        <v>&lt;span class="w"&gt;&lt;b&gt;【32.measure：～を計測する】&lt;/b&gt;&lt;/span&gt;
&lt;span class="ml"&gt;ラテン語metri（測る）に由来する。
&lt;span class="spacer"&gt;&lt;/span&gt;ラテン語から意味の変化はほとんどない。&lt;/span&gt;</v>
      </c>
      <c r="AU944" s="15"/>
      <c r="AV944" s="1" t="s">
        <v>1502</v>
      </c>
      <c r="BG944" s="7" t="s">
        <v>1503</v>
      </c>
      <c r="BH944" s="1" t="s">
        <v>2034</v>
      </c>
      <c r="BI944" s="2" t="s">
        <v>9317</v>
      </c>
      <c r="BJ944" s="1" t="s">
        <v>2044</v>
      </c>
      <c r="BK944" s="2" t="s">
        <v>5095</v>
      </c>
      <c r="BL944" s="1" t="s">
        <v>1883</v>
      </c>
      <c r="BM944" s="2" t="s">
        <v>5096</v>
      </c>
      <c r="BN944" s="1" t="s">
        <v>4072</v>
      </c>
      <c r="BO944" s="2" t="s">
        <v>5097</v>
      </c>
    </row>
    <row r="945" spans="1:71" ht="108" x14ac:dyDescent="0.45">
      <c r="A945" s="5">
        <v>944</v>
      </c>
      <c r="B945" s="6" t="s">
        <v>686</v>
      </c>
      <c r="C945" s="6" t="s">
        <v>6851</v>
      </c>
      <c r="D945" s="7" t="s">
        <v>9794</v>
      </c>
      <c r="E945" s="1" t="s">
        <v>686</v>
      </c>
      <c r="F945" s="1"/>
      <c r="G945" s="1"/>
      <c r="J945" s="1" t="s">
        <v>9795</v>
      </c>
      <c r="K945" s="2" t="s">
        <v>9318</v>
      </c>
      <c r="L945" s="2" t="s">
        <v>9319</v>
      </c>
      <c r="P945" s="7" t="s">
        <v>1241</v>
      </c>
      <c r="Q945" s="13" t="str">
        <f>INDEX($L:$L, MATCH("nerve", $B:$B, 0))</f>
        <v>&lt;span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v>
      </c>
      <c r="AV945" s="1" t="s">
        <v>1502</v>
      </c>
      <c r="BG945" s="7" t="s">
        <v>1503</v>
      </c>
      <c r="BH945" s="1" t="s">
        <v>2458</v>
      </c>
      <c r="BI945" s="1" t="s">
        <v>5098</v>
      </c>
      <c r="BJ945" s="1" t="s">
        <v>3461</v>
      </c>
      <c r="BK945" s="2" t="s">
        <v>5099</v>
      </c>
      <c r="BL945" s="1" t="s">
        <v>1877</v>
      </c>
      <c r="BM945" s="2" t="s">
        <v>5100</v>
      </c>
    </row>
    <row r="946" spans="1:71" ht="180" x14ac:dyDescent="0.45">
      <c r="A946" s="5">
        <v>945</v>
      </c>
      <c r="B946" s="6" t="s">
        <v>687</v>
      </c>
      <c r="C946" s="6" t="s">
        <v>6851</v>
      </c>
      <c r="D946" s="7" t="s">
        <v>9794</v>
      </c>
      <c r="E946" s="1" t="s">
        <v>9320</v>
      </c>
      <c r="F946" s="1" t="s">
        <v>1584</v>
      </c>
      <c r="G946" s="1"/>
      <c r="J946" s="1" t="s">
        <v>9795</v>
      </c>
      <c r="K946" s="2" t="s">
        <v>9321</v>
      </c>
      <c r="L946" s="2" t="s">
        <v>12141</v>
      </c>
      <c r="M946" s="1" t="s">
        <v>12260</v>
      </c>
      <c r="P946" s="7" t="s">
        <v>1241</v>
      </c>
      <c r="Q946"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946" s="13"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S946" s="13"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T946" s="13"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U946"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V946"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946" s="15"/>
      <c r="AV946" s="1" t="s">
        <v>1502</v>
      </c>
      <c r="BG946" s="7" t="s">
        <v>1503</v>
      </c>
      <c r="BH946" s="1" t="s">
        <v>1947</v>
      </c>
      <c r="BI946" s="2" t="s">
        <v>5101</v>
      </c>
      <c r="BJ946" s="1" t="s">
        <v>2036</v>
      </c>
      <c r="BK946" s="1" t="s">
        <v>5102</v>
      </c>
      <c r="BL946" s="1" t="s">
        <v>1967</v>
      </c>
      <c r="BM946" s="1" t="s">
        <v>5103</v>
      </c>
      <c r="BN946" s="1" t="s">
        <v>1996</v>
      </c>
      <c r="BO946" s="2" t="s">
        <v>5104</v>
      </c>
      <c r="BP946" s="1" t="s">
        <v>1877</v>
      </c>
      <c r="BQ946" s="2" t="s">
        <v>5105</v>
      </c>
    </row>
    <row r="947" spans="1:71" ht="144" x14ac:dyDescent="0.45">
      <c r="A947" s="5">
        <v>946</v>
      </c>
      <c r="B947" s="6" t="s">
        <v>688</v>
      </c>
      <c r="C947" s="6" t="s">
        <v>6851</v>
      </c>
      <c r="D947" s="7" t="s">
        <v>9794</v>
      </c>
      <c r="E947" s="1" t="s">
        <v>688</v>
      </c>
      <c r="F947" s="1"/>
      <c r="G947" s="1"/>
      <c r="J947" s="1" t="s">
        <v>9795</v>
      </c>
      <c r="K947" s="1" t="s">
        <v>9322</v>
      </c>
      <c r="L947" s="3" t="s">
        <v>9323</v>
      </c>
      <c r="P947" s="7" t="s">
        <v>1241</v>
      </c>
      <c r="AV947" s="1" t="s">
        <v>1502</v>
      </c>
      <c r="BG947" s="7" t="s">
        <v>1503</v>
      </c>
      <c r="BH947" s="1" t="s">
        <v>2458</v>
      </c>
      <c r="BI947" s="1" t="s">
        <v>5106</v>
      </c>
      <c r="BJ947" s="1" t="s">
        <v>1947</v>
      </c>
      <c r="BK947" s="1" t="s">
        <v>5107</v>
      </c>
      <c r="BL947" s="1" t="s">
        <v>2036</v>
      </c>
      <c r="BM947" s="1" t="s">
        <v>5108</v>
      </c>
      <c r="BN947" s="1" t="s">
        <v>1996</v>
      </c>
      <c r="BO947" s="1" t="s">
        <v>5109</v>
      </c>
      <c r="BP947" s="1" t="s">
        <v>1877</v>
      </c>
      <c r="BQ947" s="2" t="s">
        <v>5110</v>
      </c>
      <c r="BR947" s="1" t="s">
        <v>3497</v>
      </c>
      <c r="BS947" s="2" t="s">
        <v>5111</v>
      </c>
    </row>
    <row r="948" spans="1:71" ht="162" x14ac:dyDescent="0.45">
      <c r="A948" s="5">
        <v>947</v>
      </c>
      <c r="B948" s="6" t="s">
        <v>689</v>
      </c>
      <c r="C948" s="6" t="s">
        <v>6851</v>
      </c>
      <c r="D948" s="7" t="s">
        <v>9794</v>
      </c>
      <c r="E948" s="1" t="s">
        <v>5112</v>
      </c>
      <c r="F948" s="1" t="s">
        <v>5113</v>
      </c>
      <c r="G948" s="1"/>
      <c r="J948" s="1" t="s">
        <v>9795</v>
      </c>
      <c r="L948" s="2" t="s">
        <v>9324</v>
      </c>
      <c r="P948" s="7" t="s">
        <v>1241</v>
      </c>
      <c r="AU948" s="15"/>
      <c r="AV948" s="1" t="s">
        <v>1502</v>
      </c>
      <c r="BG948" s="7" t="s">
        <v>1503</v>
      </c>
      <c r="BH948" s="1" t="s">
        <v>2458</v>
      </c>
      <c r="BI948" s="2" t="s">
        <v>5114</v>
      </c>
      <c r="BJ948" s="1" t="s">
        <v>1947</v>
      </c>
      <c r="BK948" s="1" t="s">
        <v>5115</v>
      </c>
      <c r="BL948" s="1" t="s">
        <v>1996</v>
      </c>
      <c r="BM948" s="2" t="s">
        <v>5116</v>
      </c>
      <c r="BN948" s="1" t="s">
        <v>1877</v>
      </c>
      <c r="BO948" s="2" t="s">
        <v>5117</v>
      </c>
    </row>
    <row r="949" spans="1:71" ht="234" x14ac:dyDescent="0.45">
      <c r="A949" s="5">
        <v>948</v>
      </c>
      <c r="B949" s="6" t="s">
        <v>690</v>
      </c>
      <c r="C949" s="6" t="s">
        <v>6851</v>
      </c>
      <c r="D949" s="7" t="s">
        <v>9794</v>
      </c>
      <c r="E949" s="1" t="s">
        <v>690</v>
      </c>
      <c r="F949" s="1"/>
      <c r="G949" s="1"/>
      <c r="J949" s="1" t="s">
        <v>9795</v>
      </c>
      <c r="L949" s="3" t="s">
        <v>9325</v>
      </c>
      <c r="P949" s="7" t="s">
        <v>1241</v>
      </c>
      <c r="AV949" s="1" t="s">
        <v>1502</v>
      </c>
      <c r="BG949" s="7" t="s">
        <v>1503</v>
      </c>
      <c r="BH949" s="1" t="s">
        <v>1947</v>
      </c>
      <c r="BI949" s="1" t="s">
        <v>5118</v>
      </c>
      <c r="BJ949" s="1" t="s">
        <v>2026</v>
      </c>
      <c r="BK949" s="2" t="s">
        <v>5119</v>
      </c>
      <c r="BL949" s="1" t="s">
        <v>1959</v>
      </c>
      <c r="BM949" s="1" t="s">
        <v>5120</v>
      </c>
      <c r="BN949" s="1" t="s">
        <v>2114</v>
      </c>
      <c r="BO949" s="2" t="s">
        <v>5121</v>
      </c>
      <c r="BP949" s="1" t="s">
        <v>1875</v>
      </c>
      <c r="BQ949" s="2" t="s">
        <v>5122</v>
      </c>
      <c r="BR949" s="1" t="s">
        <v>1877</v>
      </c>
      <c r="BS949" s="2" t="s">
        <v>5123</v>
      </c>
    </row>
    <row r="950" spans="1:71" ht="126" x14ac:dyDescent="0.45">
      <c r="A950" s="5">
        <v>949</v>
      </c>
      <c r="B950" s="6" t="s">
        <v>691</v>
      </c>
      <c r="C950" s="6" t="s">
        <v>6851</v>
      </c>
      <c r="D950" s="7" t="s">
        <v>9794</v>
      </c>
      <c r="E950" s="1" t="s">
        <v>1833</v>
      </c>
      <c r="F950" s="1" t="s">
        <v>5124</v>
      </c>
      <c r="G950" s="1" t="s">
        <v>5125</v>
      </c>
      <c r="J950" s="1" t="s">
        <v>9795</v>
      </c>
      <c r="K950" s="1" t="s">
        <v>5126</v>
      </c>
      <c r="L950" s="2" t="s">
        <v>9326</v>
      </c>
      <c r="P950" s="7" t="s">
        <v>1241</v>
      </c>
      <c r="AU950" s="15"/>
      <c r="AV950" s="1" t="s">
        <v>1502</v>
      </c>
      <c r="BG950" s="7" t="s">
        <v>1503</v>
      </c>
      <c r="BH950" s="1" t="s">
        <v>1947</v>
      </c>
      <c r="BI950" s="2" t="s">
        <v>9327</v>
      </c>
      <c r="BJ950" s="1" t="s">
        <v>3461</v>
      </c>
      <c r="BK950" s="1" t="s">
        <v>5127</v>
      </c>
      <c r="BL950" s="1" t="s">
        <v>1877</v>
      </c>
      <c r="BM950" s="2" t="s">
        <v>5128</v>
      </c>
    </row>
    <row r="951" spans="1:71" ht="144" x14ac:dyDescent="0.45">
      <c r="A951" s="5">
        <v>950</v>
      </c>
      <c r="B951" s="8" t="s">
        <v>692</v>
      </c>
      <c r="C951" s="6" t="s">
        <v>6851</v>
      </c>
      <c r="D951" s="7" t="s">
        <v>9794</v>
      </c>
      <c r="E951" s="1" t="s">
        <v>5129</v>
      </c>
      <c r="F951" s="1" t="s">
        <v>60</v>
      </c>
      <c r="G951" s="1"/>
      <c r="J951" s="1" t="s">
        <v>9795</v>
      </c>
      <c r="K951" s="1" t="s">
        <v>5130</v>
      </c>
      <c r="L951" s="2" t="s">
        <v>9328</v>
      </c>
      <c r="P951" s="7" t="s">
        <v>1241</v>
      </c>
      <c r="AU951" s="15"/>
      <c r="AV951" s="1" t="s">
        <v>1502</v>
      </c>
      <c r="BG951" s="7" t="s">
        <v>1503</v>
      </c>
      <c r="BH951" s="1" t="s">
        <v>3497</v>
      </c>
      <c r="BI951" s="2" t="s">
        <v>5131</v>
      </c>
    </row>
    <row r="952" spans="1:71" ht="126" x14ac:dyDescent="0.45">
      <c r="A952" s="5">
        <v>951</v>
      </c>
      <c r="B952" s="6" t="s">
        <v>693</v>
      </c>
      <c r="C952" s="6" t="s">
        <v>6851</v>
      </c>
      <c r="D952" s="7" t="s">
        <v>9794</v>
      </c>
      <c r="E952" s="1" t="s">
        <v>693</v>
      </c>
      <c r="F952" s="1"/>
      <c r="G952" s="1"/>
      <c r="J952" s="1" t="s">
        <v>9795</v>
      </c>
      <c r="L952" s="3" t="s">
        <v>9329</v>
      </c>
      <c r="P952" s="7" t="s">
        <v>1241</v>
      </c>
      <c r="AU952" s="15"/>
      <c r="AV952" s="1" t="s">
        <v>1502</v>
      </c>
      <c r="BG952" s="7" t="s">
        <v>1503</v>
      </c>
      <c r="BH952" s="1" t="s">
        <v>1947</v>
      </c>
      <c r="BI952" s="2" t="s">
        <v>5132</v>
      </c>
      <c r="BJ952" s="1" t="s">
        <v>2036</v>
      </c>
      <c r="BK952" s="1" t="s">
        <v>5133</v>
      </c>
      <c r="BL952" s="1" t="s">
        <v>1872</v>
      </c>
      <c r="BM952" s="1" t="s">
        <v>5134</v>
      </c>
      <c r="BN952" s="1" t="s">
        <v>1875</v>
      </c>
      <c r="BO952" s="1" t="s">
        <v>5135</v>
      </c>
      <c r="BP952" s="1" t="s">
        <v>1877</v>
      </c>
      <c r="BQ952" s="2" t="s">
        <v>5136</v>
      </c>
    </row>
    <row r="953" spans="1:71" ht="126" x14ac:dyDescent="0.45">
      <c r="A953" s="5">
        <v>952</v>
      </c>
      <c r="B953" s="6" t="s">
        <v>694</v>
      </c>
      <c r="C953" s="6" t="s">
        <v>6851</v>
      </c>
      <c r="D953" s="7" t="s">
        <v>9794</v>
      </c>
      <c r="E953" s="1" t="s">
        <v>1721</v>
      </c>
      <c r="F953" s="1" t="s">
        <v>5137</v>
      </c>
      <c r="G953" s="1"/>
      <c r="J953" s="1" t="s">
        <v>9795</v>
      </c>
      <c r="K953" s="1" t="s">
        <v>9330</v>
      </c>
      <c r="L953" s="2" t="s">
        <v>9331</v>
      </c>
      <c r="M953" s="1" t="s">
        <v>12270</v>
      </c>
      <c r="P953" s="7" t="s">
        <v>1241</v>
      </c>
      <c r="Q953" s="13"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953" s="13" t="str">
        <f>INDEX($L:$L, MATCH("utility", $B:$B, 0))</f>
        <v>&lt;span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v>
      </c>
      <c r="S953" s="13" t="str">
        <f>INDEX($L:$L, MATCH("utilize", $B:$B, 0))</f>
        <v>&lt;span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v>
      </c>
      <c r="AU953" s="15"/>
      <c r="AV953" s="1" t="s">
        <v>1502</v>
      </c>
      <c r="BG953" s="7" t="s">
        <v>1503</v>
      </c>
      <c r="BH953" s="1" t="s">
        <v>1947</v>
      </c>
      <c r="BI953" s="2" t="s">
        <v>5138</v>
      </c>
      <c r="BJ953" s="1" t="s">
        <v>1959</v>
      </c>
      <c r="BK953" s="2" t="s">
        <v>5139</v>
      </c>
      <c r="BL953" s="1" t="s">
        <v>1875</v>
      </c>
      <c r="BM953" s="2" t="s">
        <v>5140</v>
      </c>
      <c r="BN953" s="1" t="s">
        <v>3497</v>
      </c>
      <c r="BO953" s="2" t="s">
        <v>5141</v>
      </c>
    </row>
    <row r="954" spans="1:71" ht="108" x14ac:dyDescent="0.45">
      <c r="A954" s="5">
        <v>953</v>
      </c>
      <c r="B954" s="6" t="s">
        <v>695</v>
      </c>
      <c r="C954" s="6" t="s">
        <v>6851</v>
      </c>
      <c r="D954" s="7" t="s">
        <v>9794</v>
      </c>
      <c r="E954" s="1" t="s">
        <v>695</v>
      </c>
      <c r="F954" s="1"/>
      <c r="G954" s="1"/>
      <c r="J954" s="1" t="s">
        <v>9795</v>
      </c>
      <c r="L954" s="2" t="s">
        <v>9332</v>
      </c>
      <c r="P954" s="7" t="s">
        <v>1241</v>
      </c>
      <c r="AV954" s="1" t="s">
        <v>1502</v>
      </c>
      <c r="BG954" s="7" t="s">
        <v>1503</v>
      </c>
      <c r="BH954" s="1" t="s">
        <v>1947</v>
      </c>
      <c r="BI954" s="1" t="s">
        <v>9333</v>
      </c>
      <c r="BJ954" s="1" t="s">
        <v>1959</v>
      </c>
      <c r="BK954" s="2" t="s">
        <v>5142</v>
      </c>
      <c r="BL954" s="1" t="s">
        <v>1875</v>
      </c>
      <c r="BM954" s="2" t="s">
        <v>5143</v>
      </c>
    </row>
    <row r="955" spans="1:71" ht="108" x14ac:dyDescent="0.45">
      <c r="A955" s="5">
        <v>954</v>
      </c>
      <c r="B955" s="6" t="s">
        <v>696</v>
      </c>
      <c r="C955" s="6" t="s">
        <v>6851</v>
      </c>
      <c r="D955" s="7" t="s">
        <v>9794</v>
      </c>
      <c r="E955" s="1" t="s">
        <v>696</v>
      </c>
      <c r="F955" s="1"/>
      <c r="G955" s="1"/>
      <c r="J955" s="1" t="s">
        <v>9795</v>
      </c>
      <c r="L955" s="2" t="s">
        <v>9334</v>
      </c>
      <c r="P955" s="7" t="s">
        <v>1241</v>
      </c>
      <c r="Q955" s="13"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AU955" s="15"/>
      <c r="AV955" s="1" t="s">
        <v>1502</v>
      </c>
      <c r="BG955" s="7" t="s">
        <v>1503</v>
      </c>
      <c r="BH955" s="1" t="s">
        <v>1947</v>
      </c>
      <c r="BI955" s="2" t="s">
        <v>5144</v>
      </c>
      <c r="BJ955" s="1" t="s">
        <v>1959</v>
      </c>
      <c r="BK955" s="1" t="s">
        <v>696</v>
      </c>
      <c r="BL955" s="1" t="s">
        <v>1875</v>
      </c>
      <c r="BM955" s="2" t="s">
        <v>5145</v>
      </c>
      <c r="BN955" s="1" t="s">
        <v>1877</v>
      </c>
      <c r="BO955" s="2" t="s">
        <v>5146</v>
      </c>
    </row>
    <row r="956" spans="1:71" ht="144" x14ac:dyDescent="0.45">
      <c r="A956" s="5">
        <v>955</v>
      </c>
      <c r="B956" s="6" t="s">
        <v>697</v>
      </c>
      <c r="C956" s="6" t="s">
        <v>6851</v>
      </c>
      <c r="D956" s="7" t="s">
        <v>9794</v>
      </c>
      <c r="E956" s="1" t="s">
        <v>5147</v>
      </c>
      <c r="F956" s="1" t="s">
        <v>5148</v>
      </c>
      <c r="G956" s="1"/>
      <c r="J956" s="1" t="s">
        <v>9795</v>
      </c>
      <c r="K956" s="1" t="s">
        <v>5149</v>
      </c>
      <c r="L956" s="2" t="s">
        <v>9335</v>
      </c>
      <c r="P956" s="7" t="s">
        <v>1241</v>
      </c>
      <c r="AU956" s="15"/>
      <c r="AV956" s="1" t="s">
        <v>1502</v>
      </c>
      <c r="BG956" s="7" t="s">
        <v>1503</v>
      </c>
      <c r="BH956" s="1" t="s">
        <v>2458</v>
      </c>
      <c r="BI956" s="2" t="s">
        <v>5150</v>
      </c>
      <c r="BJ956" s="1" t="s">
        <v>1947</v>
      </c>
      <c r="BK956" s="1" t="s">
        <v>5151</v>
      </c>
      <c r="BL956" s="1" t="s">
        <v>1959</v>
      </c>
      <c r="BM956" s="2" t="s">
        <v>5152</v>
      </c>
      <c r="BN956" s="1" t="s">
        <v>1875</v>
      </c>
      <c r="BO956" s="2" t="s">
        <v>5153</v>
      </c>
      <c r="BP956" s="1" t="s">
        <v>1877</v>
      </c>
      <c r="BQ956" s="2" t="s">
        <v>5154</v>
      </c>
    </row>
    <row r="957" spans="1:71" ht="144" x14ac:dyDescent="0.45">
      <c r="A957" s="5">
        <v>956</v>
      </c>
      <c r="B957" s="6" t="s">
        <v>698</v>
      </c>
      <c r="C957" s="6" t="s">
        <v>6851</v>
      </c>
      <c r="D957" s="7" t="s">
        <v>9794</v>
      </c>
      <c r="E957" s="1" t="s">
        <v>5155</v>
      </c>
      <c r="F957" s="1" t="s">
        <v>5156</v>
      </c>
      <c r="G957" s="1"/>
      <c r="J957" s="1" t="s">
        <v>9795</v>
      </c>
      <c r="K957" s="2" t="s">
        <v>9336</v>
      </c>
      <c r="L957" s="2" t="s">
        <v>9337</v>
      </c>
      <c r="P957" s="7" t="s">
        <v>1241</v>
      </c>
      <c r="Q957" s="13" t="str">
        <f>INDEX($L:$L, MATCH("scenery", $B:$B, 0))</f>
        <v>&lt;span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v>
      </c>
      <c r="AV957" s="1" t="s">
        <v>1502</v>
      </c>
      <c r="BG957" s="7" t="s">
        <v>1503</v>
      </c>
      <c r="BH957" s="1" t="s">
        <v>2458</v>
      </c>
      <c r="BI957" s="1" t="s">
        <v>9338</v>
      </c>
      <c r="BJ957" s="1" t="s">
        <v>1947</v>
      </c>
      <c r="BK957" s="1" t="s">
        <v>5157</v>
      </c>
      <c r="BL957" s="1" t="s">
        <v>2036</v>
      </c>
      <c r="BM957" s="2" t="s">
        <v>5158</v>
      </c>
      <c r="BN957" s="1" t="s">
        <v>1994</v>
      </c>
      <c r="BO957" s="1" t="s">
        <v>698</v>
      </c>
      <c r="BP957" s="1" t="s">
        <v>1877</v>
      </c>
      <c r="BQ957" s="2" t="s">
        <v>5159</v>
      </c>
    </row>
    <row r="958" spans="1:71" ht="144" x14ac:dyDescent="0.45">
      <c r="A958" s="5">
        <v>957</v>
      </c>
      <c r="B958" s="8" t="s">
        <v>699</v>
      </c>
      <c r="C958" s="6" t="s">
        <v>6851</v>
      </c>
      <c r="D958" s="7" t="s">
        <v>9794</v>
      </c>
      <c r="E958" s="1" t="s">
        <v>1538</v>
      </c>
      <c r="F958" s="1" t="s">
        <v>5160</v>
      </c>
      <c r="G958" s="1"/>
      <c r="J958" s="1" t="s">
        <v>9795</v>
      </c>
      <c r="K958" s="1" t="s">
        <v>9339</v>
      </c>
      <c r="L958" s="2" t="s">
        <v>9340</v>
      </c>
      <c r="P958" s="7" t="s">
        <v>1241</v>
      </c>
      <c r="Q958" s="13" t="str">
        <f>INDEX($L:$L, MATCH("surgery", $B:$B, 0))</f>
        <v>&lt;span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v>
      </c>
      <c r="R958" s="13" t="str">
        <f>INDEX($L:$L, MATCH("physician", $B:$B, 0))</f>
        <v>&lt;span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v>
      </c>
      <c r="AU958" s="15"/>
      <c r="AV958" s="1" t="s">
        <v>1502</v>
      </c>
      <c r="BG958" s="7" t="s">
        <v>1503</v>
      </c>
      <c r="BH958" s="1" t="s">
        <v>2458</v>
      </c>
      <c r="BI958" s="2" t="s">
        <v>5161</v>
      </c>
      <c r="BJ958" s="1" t="s">
        <v>3461</v>
      </c>
      <c r="BK958" s="2" t="s">
        <v>9341</v>
      </c>
      <c r="BL958" s="1" t="s">
        <v>3497</v>
      </c>
      <c r="BM958" s="2" t="s">
        <v>5162</v>
      </c>
    </row>
    <row r="959" spans="1:71" ht="72" x14ac:dyDescent="0.45">
      <c r="A959" s="5">
        <v>958</v>
      </c>
      <c r="B959" s="6" t="s">
        <v>700</v>
      </c>
      <c r="C959" s="6" t="s">
        <v>6851</v>
      </c>
      <c r="D959" s="7" t="s">
        <v>9794</v>
      </c>
      <c r="E959" s="1" t="s">
        <v>700</v>
      </c>
      <c r="F959" s="1"/>
      <c r="G959" s="1"/>
      <c r="J959" s="1" t="s">
        <v>9795</v>
      </c>
      <c r="K959" s="1" t="s">
        <v>5163</v>
      </c>
      <c r="L959" s="2" t="s">
        <v>9342</v>
      </c>
      <c r="P959" s="7" t="s">
        <v>1241</v>
      </c>
      <c r="AV959" s="1" t="s">
        <v>1502</v>
      </c>
      <c r="BG959" s="7" t="s">
        <v>1503</v>
      </c>
      <c r="BH959" s="1" t="s">
        <v>1872</v>
      </c>
      <c r="BI959" s="1" t="s">
        <v>5164</v>
      </c>
    </row>
    <row r="960" spans="1:71" ht="144" x14ac:dyDescent="0.45">
      <c r="A960" s="5">
        <v>959</v>
      </c>
      <c r="B960" s="6" t="s">
        <v>701</v>
      </c>
      <c r="C960" s="6" t="s">
        <v>6851</v>
      </c>
      <c r="D960" s="7" t="s">
        <v>9794</v>
      </c>
      <c r="E960" s="1" t="s">
        <v>5007</v>
      </c>
      <c r="F960" s="1" t="s">
        <v>5165</v>
      </c>
      <c r="G960" s="1" t="s">
        <v>1551</v>
      </c>
      <c r="J960" s="1" t="s">
        <v>9795</v>
      </c>
      <c r="L960" s="2" t="s">
        <v>9343</v>
      </c>
      <c r="P960" s="7" t="s">
        <v>1241</v>
      </c>
      <c r="Q960" s="13" t="str">
        <f>INDEX($L:$L, MATCH("biological", $B:$B, 0))</f>
        <v>&lt;span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v>
      </c>
      <c r="R960" s="13" t="str">
        <f>INDEX($L:$L, MATCH("microbe", $B:$B, 0))</f>
        <v>&lt;span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v>
      </c>
      <c r="AU960" s="15"/>
      <c r="AV960" s="1" t="s">
        <v>1502</v>
      </c>
      <c r="BG960" s="7" t="s">
        <v>1503</v>
      </c>
      <c r="BH960" s="1" t="s">
        <v>2458</v>
      </c>
      <c r="BI960" s="2" t="s">
        <v>5166</v>
      </c>
      <c r="BJ960" s="1" t="s">
        <v>2036</v>
      </c>
      <c r="BK960" s="1" t="s">
        <v>5167</v>
      </c>
      <c r="BL960" s="1" t="s">
        <v>1996</v>
      </c>
      <c r="BM960" s="2" t="s">
        <v>5168</v>
      </c>
      <c r="BN960" s="1" t="s">
        <v>1877</v>
      </c>
      <c r="BO960" s="2" t="s">
        <v>5169</v>
      </c>
    </row>
    <row r="961" spans="1:69" ht="234" x14ac:dyDescent="0.45">
      <c r="A961" s="5">
        <v>960</v>
      </c>
      <c r="B961" s="6" t="s">
        <v>5172</v>
      </c>
      <c r="C961" s="6" t="s">
        <v>6851</v>
      </c>
      <c r="D961" s="7" t="s">
        <v>9794</v>
      </c>
      <c r="E961" s="1" t="s">
        <v>702</v>
      </c>
      <c r="F961" s="1"/>
      <c r="G961" s="1"/>
      <c r="J961" s="1" t="s">
        <v>9795</v>
      </c>
      <c r="K961" s="2" t="s">
        <v>9344</v>
      </c>
      <c r="L961" s="2" t="s">
        <v>9345</v>
      </c>
      <c r="P961" s="7" t="s">
        <v>1241</v>
      </c>
      <c r="AU961" s="15"/>
      <c r="AV961" s="1" t="s">
        <v>1502</v>
      </c>
      <c r="BG961" s="7" t="s">
        <v>1503</v>
      </c>
      <c r="BH961" s="1" t="s">
        <v>1947</v>
      </c>
      <c r="BI961" s="2" t="s">
        <v>5170</v>
      </c>
      <c r="BJ961" s="1" t="s">
        <v>1996</v>
      </c>
      <c r="BK961" s="1" t="s">
        <v>5171</v>
      </c>
      <c r="BL961" s="1" t="s">
        <v>1877</v>
      </c>
      <c r="BM961" s="2" t="s">
        <v>9346</v>
      </c>
    </row>
    <row r="962" spans="1:69" ht="144" x14ac:dyDescent="0.45">
      <c r="A962" s="5">
        <v>961</v>
      </c>
      <c r="B962" s="6" t="s">
        <v>703</v>
      </c>
      <c r="C962" s="6" t="s">
        <v>6851</v>
      </c>
      <c r="D962" s="7" t="s">
        <v>9794</v>
      </c>
      <c r="E962" s="1" t="s">
        <v>5173</v>
      </c>
      <c r="F962" s="1" t="s">
        <v>5174</v>
      </c>
      <c r="G962" s="1"/>
      <c r="J962" s="1" t="s">
        <v>9795</v>
      </c>
      <c r="K962" s="1" t="s">
        <v>9347</v>
      </c>
      <c r="L962" s="2" t="s">
        <v>9348</v>
      </c>
      <c r="P962" s="7" t="s">
        <v>1241</v>
      </c>
      <c r="AU962" s="15"/>
      <c r="AV962" s="1" t="s">
        <v>1502</v>
      </c>
      <c r="BG962" s="7" t="s">
        <v>1503</v>
      </c>
      <c r="BH962" s="1" t="s">
        <v>2458</v>
      </c>
      <c r="BI962" s="2" t="s">
        <v>5175</v>
      </c>
      <c r="BJ962" s="1" t="s">
        <v>1947</v>
      </c>
      <c r="BK962" s="2" t="s">
        <v>5176</v>
      </c>
      <c r="BL962" s="1" t="s">
        <v>1959</v>
      </c>
      <c r="BM962" s="2" t="s">
        <v>5177</v>
      </c>
      <c r="BN962" s="1" t="s">
        <v>1996</v>
      </c>
      <c r="BO962" s="1" t="s">
        <v>5178</v>
      </c>
      <c r="BP962" s="1" t="s">
        <v>1875</v>
      </c>
      <c r="BQ962" s="2" t="s">
        <v>5179</v>
      </c>
    </row>
    <row r="963" spans="1:69" ht="54" x14ac:dyDescent="0.45">
      <c r="A963" s="5">
        <v>962</v>
      </c>
      <c r="B963" s="6" t="s">
        <v>704</v>
      </c>
      <c r="C963" s="6" t="s">
        <v>6851</v>
      </c>
      <c r="D963" s="7" t="s">
        <v>9794</v>
      </c>
      <c r="E963" s="1" t="s">
        <v>704</v>
      </c>
      <c r="F963" s="1"/>
      <c r="G963" s="1"/>
      <c r="J963" s="1" t="s">
        <v>9795</v>
      </c>
      <c r="K963" s="1" t="s">
        <v>5180</v>
      </c>
      <c r="L963" s="2" t="s">
        <v>9349</v>
      </c>
      <c r="P963" s="7" t="s">
        <v>1241</v>
      </c>
      <c r="AV963" s="1" t="s">
        <v>1502</v>
      </c>
      <c r="BG963" s="7" t="s">
        <v>1503</v>
      </c>
      <c r="BH963" s="1" t="s">
        <v>1872</v>
      </c>
      <c r="BI963" s="1" t="s">
        <v>5181</v>
      </c>
      <c r="BJ963" s="1" t="s">
        <v>1875</v>
      </c>
      <c r="BK963" s="1" t="s">
        <v>5182</v>
      </c>
    </row>
    <row r="964" spans="1:69" ht="108" x14ac:dyDescent="0.45">
      <c r="A964" s="5">
        <v>963</v>
      </c>
      <c r="B964" s="8" t="s">
        <v>705</v>
      </c>
      <c r="C964" s="6" t="s">
        <v>6851</v>
      </c>
      <c r="D964" s="7" t="s">
        <v>9794</v>
      </c>
      <c r="E964" s="1" t="s">
        <v>705</v>
      </c>
      <c r="F964" s="1"/>
      <c r="G964" s="1"/>
      <c r="J964" s="1" t="s">
        <v>9795</v>
      </c>
      <c r="L964" s="2" t="s">
        <v>9350</v>
      </c>
      <c r="P964" s="7" t="s">
        <v>1241</v>
      </c>
      <c r="Q964" s="13"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V964" s="1" t="s">
        <v>1502</v>
      </c>
      <c r="BG964" s="7" t="s">
        <v>1503</v>
      </c>
      <c r="BH964" s="1" t="s">
        <v>1872</v>
      </c>
      <c r="BI964" s="1" t="s">
        <v>5183</v>
      </c>
      <c r="BJ964" s="1" t="s">
        <v>1875</v>
      </c>
      <c r="BK964" s="2" t="s">
        <v>9351</v>
      </c>
      <c r="BL964" s="1" t="s">
        <v>1877</v>
      </c>
      <c r="BM964" s="2" t="s">
        <v>5184</v>
      </c>
    </row>
    <row r="965" spans="1:69" ht="162" x14ac:dyDescent="0.45">
      <c r="A965" s="5">
        <v>964</v>
      </c>
      <c r="B965" s="8" t="s">
        <v>706</v>
      </c>
      <c r="C965" s="6" t="s">
        <v>6851</v>
      </c>
      <c r="D965" s="7" t="s">
        <v>9794</v>
      </c>
      <c r="E965" s="1" t="s">
        <v>1725</v>
      </c>
      <c r="F965" s="1" t="s">
        <v>9352</v>
      </c>
      <c r="G965" s="1" t="s">
        <v>1584</v>
      </c>
      <c r="J965" s="1" t="s">
        <v>9795</v>
      </c>
      <c r="L965" s="3" t="s">
        <v>9353</v>
      </c>
      <c r="M965" s="1" t="s">
        <v>12191</v>
      </c>
      <c r="P965" s="7" t="s">
        <v>1241</v>
      </c>
      <c r="Q965" s="13"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965" s="13"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S965" s="13"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AU965" s="15"/>
      <c r="AV965" s="1" t="s">
        <v>1502</v>
      </c>
      <c r="BG965" s="7" t="s">
        <v>1503</v>
      </c>
      <c r="BH965" s="1" t="s">
        <v>1947</v>
      </c>
      <c r="BI965" s="2" t="s">
        <v>5186</v>
      </c>
      <c r="BJ965" s="1" t="s">
        <v>1875</v>
      </c>
      <c r="BK965" s="2" t="s">
        <v>5187</v>
      </c>
      <c r="BL965" s="1" t="s">
        <v>1877</v>
      </c>
      <c r="BM965" s="2" t="s">
        <v>5188</v>
      </c>
    </row>
    <row r="966" spans="1:69" ht="126" x14ac:dyDescent="0.45">
      <c r="A966" s="5">
        <v>965</v>
      </c>
      <c r="B966" s="8" t="s">
        <v>707</v>
      </c>
      <c r="C966" s="6" t="s">
        <v>6851</v>
      </c>
      <c r="D966" s="7" t="s">
        <v>9794</v>
      </c>
      <c r="E966" s="1" t="s">
        <v>5189</v>
      </c>
      <c r="F966" s="1" t="s">
        <v>5190</v>
      </c>
      <c r="G966" s="1"/>
      <c r="J966" s="1" t="s">
        <v>9795</v>
      </c>
      <c r="K966" s="1" t="s">
        <v>5191</v>
      </c>
      <c r="L966" s="2" t="s">
        <v>9359</v>
      </c>
      <c r="P966" s="7" t="s">
        <v>1241</v>
      </c>
      <c r="Q966" s="13" t="str">
        <f>INDEX($L:$L, MATCH("major", $B:$B, 0))</f>
        <v>&lt;span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v>
      </c>
      <c r="R966" s="13"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U966" s="15"/>
      <c r="AV966" s="1" t="s">
        <v>1502</v>
      </c>
      <c r="BG966" s="7" t="s">
        <v>1503</v>
      </c>
      <c r="BH966" s="1" t="s">
        <v>1947</v>
      </c>
      <c r="BI966" s="2" t="s">
        <v>5192</v>
      </c>
      <c r="BJ966" s="1" t="s">
        <v>1996</v>
      </c>
      <c r="BK966" s="1" t="s">
        <v>707</v>
      </c>
      <c r="BL966" s="1" t="s">
        <v>1877</v>
      </c>
      <c r="BM966" s="2" t="s">
        <v>5193</v>
      </c>
    </row>
    <row r="967" spans="1:69" ht="288" x14ac:dyDescent="0.45">
      <c r="A967" s="5">
        <v>966</v>
      </c>
      <c r="B967" s="6" t="s">
        <v>708</v>
      </c>
      <c r="C967" s="6" t="s">
        <v>6851</v>
      </c>
      <c r="D967" s="7" t="s">
        <v>9794</v>
      </c>
      <c r="E967" s="1" t="s">
        <v>708</v>
      </c>
      <c r="F967" s="1"/>
      <c r="G967" s="1"/>
      <c r="J967" s="1" t="s">
        <v>9795</v>
      </c>
      <c r="K967" s="2" t="s">
        <v>9354</v>
      </c>
      <c r="L967" s="2" t="s">
        <v>9355</v>
      </c>
      <c r="P967" s="7" t="s">
        <v>1241</v>
      </c>
      <c r="AU967" s="15"/>
      <c r="AV967" s="1" t="s">
        <v>1502</v>
      </c>
      <c r="BG967" s="7" t="s">
        <v>1503</v>
      </c>
      <c r="BH967" s="1" t="s">
        <v>2458</v>
      </c>
      <c r="BI967" s="2" t="s">
        <v>9356</v>
      </c>
      <c r="BJ967" s="1" t="s">
        <v>2036</v>
      </c>
      <c r="BK967" s="1" t="s">
        <v>5194</v>
      </c>
      <c r="BL967" s="1" t="s">
        <v>1996</v>
      </c>
      <c r="BM967" s="1" t="s">
        <v>5195</v>
      </c>
      <c r="BN967" s="1" t="s">
        <v>1875</v>
      </c>
      <c r="BO967" s="2" t="s">
        <v>5196</v>
      </c>
      <c r="BP967" s="1" t="s">
        <v>1877</v>
      </c>
      <c r="BQ967" s="2" t="s">
        <v>5197</v>
      </c>
    </row>
    <row r="968" spans="1:69" ht="90" x14ac:dyDescent="0.45">
      <c r="A968" s="5">
        <v>967</v>
      </c>
      <c r="B968" s="6" t="s">
        <v>709</v>
      </c>
      <c r="C968" s="6" t="s">
        <v>6851</v>
      </c>
      <c r="D968" s="7" t="s">
        <v>9794</v>
      </c>
      <c r="E968" s="1" t="s">
        <v>5198</v>
      </c>
      <c r="F968" s="1" t="s">
        <v>49</v>
      </c>
      <c r="G968" s="1"/>
      <c r="J968" s="1" t="s">
        <v>9795</v>
      </c>
      <c r="K968" s="1" t="s">
        <v>5199</v>
      </c>
      <c r="L968" s="2" t="s">
        <v>9357</v>
      </c>
      <c r="P968" s="7" t="s">
        <v>1241</v>
      </c>
      <c r="Q968" s="13" t="str">
        <f>INDEX($L:$L, MATCH("landmine", $B:$B, 0))</f>
        <v>&lt;span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v>
      </c>
      <c r="R968" s="13"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U968" s="15"/>
      <c r="AV968" s="1" t="s">
        <v>1502</v>
      </c>
      <c r="BG968" s="7" t="s">
        <v>1503</v>
      </c>
      <c r="BH968" s="1" t="s">
        <v>1967</v>
      </c>
      <c r="BI968" s="2" t="s">
        <v>5200</v>
      </c>
      <c r="BJ968" s="1" t="s">
        <v>1959</v>
      </c>
      <c r="BK968" s="1" t="s">
        <v>709</v>
      </c>
      <c r="BL968" s="1" t="s">
        <v>1875</v>
      </c>
      <c r="BM968" s="2" t="s">
        <v>5201</v>
      </c>
      <c r="BN968" s="1" t="s">
        <v>1877</v>
      </c>
      <c r="BO968" s="2" t="s">
        <v>5202</v>
      </c>
    </row>
    <row r="969" spans="1:69" ht="108" x14ac:dyDescent="0.45">
      <c r="A969" s="5">
        <v>968</v>
      </c>
      <c r="B969" s="6" t="s">
        <v>710</v>
      </c>
      <c r="C969" s="6" t="s">
        <v>6851</v>
      </c>
      <c r="D969" s="7" t="s">
        <v>9794</v>
      </c>
      <c r="E969" s="1" t="s">
        <v>710</v>
      </c>
      <c r="F969" s="1"/>
      <c r="G969" s="1"/>
      <c r="J969" s="1" t="s">
        <v>9795</v>
      </c>
      <c r="L969" s="2" t="s">
        <v>9360</v>
      </c>
      <c r="P969" s="7" t="s">
        <v>1241</v>
      </c>
      <c r="AU969" s="15"/>
      <c r="AV969" s="1" t="s">
        <v>1502</v>
      </c>
      <c r="BG969" s="7" t="s">
        <v>1503</v>
      </c>
      <c r="BH969" s="1" t="s">
        <v>2458</v>
      </c>
      <c r="BI969" s="2" t="s">
        <v>5203</v>
      </c>
      <c r="BJ969" s="1" t="s">
        <v>3408</v>
      </c>
      <c r="BK969" s="1" t="s">
        <v>5204</v>
      </c>
      <c r="BL969" s="1" t="s">
        <v>1877</v>
      </c>
      <c r="BM969" s="2" t="s">
        <v>5205</v>
      </c>
    </row>
    <row r="970" spans="1:69" ht="144" x14ac:dyDescent="0.45">
      <c r="A970" s="5">
        <v>969</v>
      </c>
      <c r="B970" s="6" t="s">
        <v>711</v>
      </c>
      <c r="C970" s="6" t="s">
        <v>6851</v>
      </c>
      <c r="D970" s="7" t="s">
        <v>9794</v>
      </c>
      <c r="E970" s="1" t="s">
        <v>1626</v>
      </c>
      <c r="F970" s="1" t="s">
        <v>5206</v>
      </c>
      <c r="G970" s="1"/>
      <c r="J970" s="1" t="s">
        <v>9795</v>
      </c>
      <c r="L970" s="2" t="s">
        <v>9361</v>
      </c>
      <c r="M970" s="1" t="s">
        <v>12236</v>
      </c>
      <c r="P970" s="7" t="s">
        <v>1241</v>
      </c>
      <c r="Q970" s="13"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R970" s="13"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S970"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T970"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970" s="13"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V970" s="13"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W970" s="13"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X970"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Y970" s="13"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Z970" s="13"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AA970"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AU970" s="15"/>
      <c r="AV970" s="1" t="s">
        <v>1502</v>
      </c>
      <c r="BG970" s="7" t="s">
        <v>1503</v>
      </c>
      <c r="BH970" s="1" t="s">
        <v>1947</v>
      </c>
      <c r="BI970" s="2" t="s">
        <v>5207</v>
      </c>
      <c r="BJ970" s="1" t="s">
        <v>1959</v>
      </c>
      <c r="BK970" s="2" t="s">
        <v>5208</v>
      </c>
      <c r="BL970" s="1" t="s">
        <v>1875</v>
      </c>
      <c r="BM970" s="2" t="s">
        <v>5209</v>
      </c>
      <c r="BN970" s="1" t="s">
        <v>1877</v>
      </c>
      <c r="BO970" s="2" t="s">
        <v>5210</v>
      </c>
      <c r="BP970" s="1" t="s">
        <v>3497</v>
      </c>
      <c r="BQ970" s="2" t="s">
        <v>5211</v>
      </c>
    </row>
    <row r="971" spans="1:69" ht="180" x14ac:dyDescent="0.45">
      <c r="A971" s="5">
        <v>970</v>
      </c>
      <c r="B971" s="8" t="s">
        <v>712</v>
      </c>
      <c r="C971" s="6" t="s">
        <v>6851</v>
      </c>
      <c r="D971" s="7" t="s">
        <v>9794</v>
      </c>
      <c r="E971" s="1" t="s">
        <v>712</v>
      </c>
      <c r="F971" s="1"/>
      <c r="G971" s="1"/>
      <c r="J971" s="1" t="s">
        <v>9795</v>
      </c>
      <c r="K971" s="2" t="s">
        <v>9358</v>
      </c>
      <c r="L971" s="2" t="s">
        <v>9362</v>
      </c>
      <c r="P971" s="7" t="s">
        <v>1241</v>
      </c>
      <c r="Q971" s="13" t="str">
        <f>INDEX($L:$L, MATCH("strike", $B:$B, 0))</f>
        <v>&lt;span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v>
      </c>
      <c r="AU971" s="15"/>
      <c r="AV971" s="1" t="s">
        <v>1502</v>
      </c>
      <c r="BG971" s="7" t="s">
        <v>1503</v>
      </c>
      <c r="BH971" s="1" t="s">
        <v>1872</v>
      </c>
      <c r="BI971" s="2" t="s">
        <v>5212</v>
      </c>
      <c r="BJ971" s="1" t="s">
        <v>1875</v>
      </c>
      <c r="BK971" s="2" t="s">
        <v>5213</v>
      </c>
      <c r="BL971" s="1" t="s">
        <v>1877</v>
      </c>
      <c r="BM971" s="2" t="s">
        <v>5214</v>
      </c>
    </row>
    <row r="972" spans="1:69" ht="126" x14ac:dyDescent="0.45">
      <c r="A972" s="5">
        <v>971</v>
      </c>
      <c r="B972" s="6" t="s">
        <v>713</v>
      </c>
      <c r="C972" s="6" t="s">
        <v>6851</v>
      </c>
      <c r="D972" s="7" t="s">
        <v>9794</v>
      </c>
      <c r="E972" s="1" t="s">
        <v>5215</v>
      </c>
      <c r="F972" s="1" t="s">
        <v>1762</v>
      </c>
      <c r="G972" s="1"/>
      <c r="J972" s="1" t="s">
        <v>9795</v>
      </c>
      <c r="K972" s="1" t="s">
        <v>9363</v>
      </c>
      <c r="L972" s="2" t="s">
        <v>9364</v>
      </c>
      <c r="P972" s="7" t="s">
        <v>1241</v>
      </c>
      <c r="Q972" s="13" t="str">
        <f>INDEX($L:$L, MATCH("expedition", $B:$B, 0))</f>
        <v>&lt;span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v>
      </c>
      <c r="AU972" s="15"/>
      <c r="AV972" s="1" t="s">
        <v>1502</v>
      </c>
      <c r="BG972" s="7" t="s">
        <v>1503</v>
      </c>
      <c r="BH972" s="1" t="s">
        <v>1947</v>
      </c>
      <c r="BI972" s="2" t="s">
        <v>5216</v>
      </c>
      <c r="BJ972" s="1" t="s">
        <v>1877</v>
      </c>
      <c r="BK972" s="2" t="s">
        <v>5217</v>
      </c>
      <c r="BL972" s="1" t="s">
        <v>3497</v>
      </c>
      <c r="BM972" s="2" t="s">
        <v>5218</v>
      </c>
    </row>
    <row r="973" spans="1:69" ht="90" x14ac:dyDescent="0.45">
      <c r="A973" s="5">
        <v>972</v>
      </c>
      <c r="B973" s="8" t="s">
        <v>714</v>
      </c>
      <c r="C973" s="6" t="s">
        <v>6851</v>
      </c>
      <c r="D973" s="7" t="s">
        <v>9794</v>
      </c>
      <c r="E973" s="1" t="s">
        <v>714</v>
      </c>
      <c r="F973" s="1"/>
      <c r="G973" s="1"/>
      <c r="J973" s="1" t="s">
        <v>9795</v>
      </c>
      <c r="L973" s="2" t="s">
        <v>9365</v>
      </c>
      <c r="M973" s="1" t="s">
        <v>12208</v>
      </c>
      <c r="P973" s="7" t="s">
        <v>1241</v>
      </c>
      <c r="Q973" s="13"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973" s="13"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S973" s="13"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T973" s="13"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973"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V973" s="13"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V973" s="1" t="s">
        <v>1502</v>
      </c>
      <c r="BG973" s="7" t="s">
        <v>1503</v>
      </c>
      <c r="BH973" s="1" t="s">
        <v>1959</v>
      </c>
      <c r="BI973" s="1" t="s">
        <v>5219</v>
      </c>
      <c r="BJ973" s="1" t="s">
        <v>1875</v>
      </c>
      <c r="BK973" s="2" t="s">
        <v>5220</v>
      </c>
      <c r="BL973" s="1" t="s">
        <v>1877</v>
      </c>
      <c r="BM973" s="2" t="s">
        <v>5221</v>
      </c>
    </row>
    <row r="974" spans="1:69" ht="162" x14ac:dyDescent="0.45">
      <c r="A974" s="5">
        <v>973</v>
      </c>
      <c r="B974" s="6" t="s">
        <v>715</v>
      </c>
      <c r="C974" s="6" t="s">
        <v>6851</v>
      </c>
      <c r="D974" s="7" t="s">
        <v>9794</v>
      </c>
      <c r="E974" s="1" t="s">
        <v>1344</v>
      </c>
      <c r="F974" s="1" t="s">
        <v>1508</v>
      </c>
      <c r="G974" s="1"/>
      <c r="J974" s="1" t="s">
        <v>9795</v>
      </c>
      <c r="L974" s="2" t="s">
        <v>9366</v>
      </c>
      <c r="P974" s="7" t="s">
        <v>1241</v>
      </c>
      <c r="Q974" s="13" t="str">
        <f>INDEX($L:$L, MATCH("economy", $B:$B, 0))</f>
        <v>&lt;span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v>
      </c>
      <c r="AV974" s="1" t="s">
        <v>1502</v>
      </c>
      <c r="BG974" s="7" t="s">
        <v>1503</v>
      </c>
      <c r="BH974" s="1" t="s">
        <v>2458</v>
      </c>
      <c r="BI974" s="1" t="s">
        <v>5222</v>
      </c>
      <c r="BJ974" s="1" t="s">
        <v>3461</v>
      </c>
      <c r="BK974" s="1" t="s">
        <v>5223</v>
      </c>
      <c r="BL974" s="1" t="s">
        <v>1877</v>
      </c>
      <c r="BM974" s="2" t="s">
        <v>5224</v>
      </c>
      <c r="BN974" s="1" t="s">
        <v>3497</v>
      </c>
      <c r="BO974" s="2" t="s">
        <v>5225</v>
      </c>
    </row>
    <row r="975" spans="1:69" ht="108" x14ac:dyDescent="0.45">
      <c r="A975" s="5">
        <v>974</v>
      </c>
      <c r="B975" s="6" t="s">
        <v>716</v>
      </c>
      <c r="C975" s="6" t="s">
        <v>6851</v>
      </c>
      <c r="D975" s="7" t="s">
        <v>9794</v>
      </c>
      <c r="E975" s="6" t="s">
        <v>716</v>
      </c>
      <c r="F975" s="1"/>
      <c r="G975" s="1"/>
      <c r="J975" s="1" t="s">
        <v>9795</v>
      </c>
      <c r="L975" s="2" t="s">
        <v>9367</v>
      </c>
      <c r="P975" s="7" t="s">
        <v>1241</v>
      </c>
      <c r="AU975" s="15"/>
      <c r="AV975" s="1" t="s">
        <v>1502</v>
      </c>
      <c r="BG975" s="7" t="s">
        <v>1503</v>
      </c>
      <c r="BH975" s="1" t="s">
        <v>1872</v>
      </c>
      <c r="BI975" s="2" t="s">
        <v>5226</v>
      </c>
      <c r="BJ975" s="1" t="s">
        <v>1875</v>
      </c>
      <c r="BK975" s="1" t="s">
        <v>5227</v>
      </c>
      <c r="BL975" s="1" t="s">
        <v>3497</v>
      </c>
      <c r="BM975" s="2" t="s">
        <v>5228</v>
      </c>
    </row>
    <row r="976" spans="1:69" ht="198" x14ac:dyDescent="0.45">
      <c r="A976" s="5">
        <v>975</v>
      </c>
      <c r="B976" s="8" t="s">
        <v>717</v>
      </c>
      <c r="C976" s="6" t="s">
        <v>6851</v>
      </c>
      <c r="D976" s="7" t="s">
        <v>9794</v>
      </c>
      <c r="E976" s="1" t="s">
        <v>9368</v>
      </c>
      <c r="F976" s="1" t="s">
        <v>9369</v>
      </c>
      <c r="G976" s="1"/>
      <c r="J976" s="1" t="s">
        <v>9795</v>
      </c>
      <c r="L976" s="2" t="s">
        <v>9370</v>
      </c>
      <c r="M976" s="1" t="s">
        <v>12185</v>
      </c>
      <c r="P976" s="7" t="s">
        <v>1241</v>
      </c>
      <c r="Q976" s="13" t="str">
        <f>INDEX($L:$L, MATCH("reason", $B:$B, 0))</f>
        <v>&lt;span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v>
      </c>
      <c r="R976" s="13" t="str">
        <f>INDEX($L:$L, MATCH("rational", $B:$B, 0))</f>
        <v>&lt;span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v>
      </c>
      <c r="AU976" s="15"/>
      <c r="AV976" s="1" t="s">
        <v>1502</v>
      </c>
      <c r="BG976" s="7" t="s">
        <v>1503</v>
      </c>
      <c r="BH976" s="1" t="s">
        <v>1947</v>
      </c>
      <c r="BI976" s="2" t="s">
        <v>9371</v>
      </c>
      <c r="BJ976" s="1" t="s">
        <v>1877</v>
      </c>
      <c r="BK976" s="2" t="s">
        <v>5230</v>
      </c>
    </row>
    <row r="977" spans="1:69" ht="126" x14ac:dyDescent="0.45">
      <c r="A977" s="5">
        <v>976</v>
      </c>
      <c r="B977" s="6" t="s">
        <v>718</v>
      </c>
      <c r="C977" s="6" t="s">
        <v>6851</v>
      </c>
      <c r="D977" s="7" t="s">
        <v>9794</v>
      </c>
      <c r="E977" s="1" t="s">
        <v>5231</v>
      </c>
      <c r="F977" s="1" t="s">
        <v>5232</v>
      </c>
      <c r="G977" s="1"/>
      <c r="J977" s="1" t="s">
        <v>9795</v>
      </c>
      <c r="K977" s="1" t="s">
        <v>5233</v>
      </c>
      <c r="L977" s="2" t="s">
        <v>9372</v>
      </c>
      <c r="P977" s="7" t="s">
        <v>1241</v>
      </c>
      <c r="AU977" s="15"/>
      <c r="AV977" s="1" t="s">
        <v>1502</v>
      </c>
      <c r="BG977" s="7" t="s">
        <v>1503</v>
      </c>
      <c r="BH977" s="1" t="s">
        <v>1947</v>
      </c>
      <c r="BI977" s="2" t="s">
        <v>5234</v>
      </c>
      <c r="BJ977" s="1" t="s">
        <v>1959</v>
      </c>
      <c r="BK977" s="1" t="s">
        <v>5235</v>
      </c>
      <c r="BL977" s="1" t="s">
        <v>1875</v>
      </c>
      <c r="BM977" s="2" t="s">
        <v>5236</v>
      </c>
    </row>
    <row r="978" spans="1:69" ht="126" x14ac:dyDescent="0.45">
      <c r="A978" s="5">
        <v>977</v>
      </c>
      <c r="B978" s="6" t="s">
        <v>719</v>
      </c>
      <c r="C978" s="6" t="s">
        <v>6851</v>
      </c>
      <c r="D978" s="7" t="s">
        <v>9794</v>
      </c>
      <c r="E978" s="1" t="s">
        <v>719</v>
      </c>
      <c r="F978" s="1"/>
      <c r="G978" s="1"/>
      <c r="J978" s="1" t="s">
        <v>9795</v>
      </c>
      <c r="K978" s="2" t="s">
        <v>9373</v>
      </c>
      <c r="L978" s="2" t="s">
        <v>9374</v>
      </c>
      <c r="P978" s="7" t="s">
        <v>1241</v>
      </c>
      <c r="AU978" s="15"/>
      <c r="AV978" s="1" t="s">
        <v>1502</v>
      </c>
      <c r="BG978" s="7" t="s">
        <v>1503</v>
      </c>
      <c r="BH978" s="1" t="s">
        <v>1947</v>
      </c>
      <c r="BI978" s="2" t="s">
        <v>5237</v>
      </c>
      <c r="BJ978" s="1" t="s">
        <v>1959</v>
      </c>
      <c r="BK978" s="2" t="s">
        <v>5238</v>
      </c>
      <c r="BL978" s="1" t="s">
        <v>1875</v>
      </c>
      <c r="BM978" s="2" t="s">
        <v>5239</v>
      </c>
      <c r="BN978" s="2" t="s">
        <v>1877</v>
      </c>
      <c r="BO978" s="2" t="s">
        <v>5240</v>
      </c>
    </row>
    <row r="979" spans="1:69" ht="180" x14ac:dyDescent="0.45">
      <c r="A979" s="5">
        <v>978</v>
      </c>
      <c r="B979" s="8" t="s">
        <v>720</v>
      </c>
      <c r="C979" s="6" t="s">
        <v>6851</v>
      </c>
      <c r="D979" s="7" t="s">
        <v>9794</v>
      </c>
      <c r="E979" s="1" t="s">
        <v>5241</v>
      </c>
      <c r="F979" s="1" t="s">
        <v>5185</v>
      </c>
      <c r="G979" s="1" t="s">
        <v>1580</v>
      </c>
      <c r="J979" s="1" t="s">
        <v>9795</v>
      </c>
      <c r="L979" s="3" t="s">
        <v>9402</v>
      </c>
      <c r="M979" s="1" t="s">
        <v>12191</v>
      </c>
      <c r="P979" s="7" t="s">
        <v>1241</v>
      </c>
      <c r="Q979" s="13"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979" s="13"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S979" s="13"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AU979" s="15"/>
      <c r="AV979" s="1" t="s">
        <v>1502</v>
      </c>
      <c r="BG979" s="7" t="s">
        <v>1503</v>
      </c>
      <c r="BH979" s="1" t="s">
        <v>1947</v>
      </c>
      <c r="BI979" s="2" t="s">
        <v>5242</v>
      </c>
      <c r="BJ979" s="1" t="s">
        <v>1959</v>
      </c>
      <c r="BK979" s="2" t="s">
        <v>5243</v>
      </c>
      <c r="BL979" s="1" t="s">
        <v>1875</v>
      </c>
      <c r="BM979" s="2" t="s">
        <v>5244</v>
      </c>
    </row>
    <row r="980" spans="1:69" ht="126" x14ac:dyDescent="0.45">
      <c r="A980" s="5">
        <v>979</v>
      </c>
      <c r="B980" s="6" t="s">
        <v>5245</v>
      </c>
      <c r="C980" s="6" t="s">
        <v>6852</v>
      </c>
      <c r="D980" s="7" t="s">
        <v>9794</v>
      </c>
      <c r="E980" s="1" t="s">
        <v>31</v>
      </c>
      <c r="F980" s="1" t="s">
        <v>9008</v>
      </c>
      <c r="G980" s="1" t="s">
        <v>1698</v>
      </c>
      <c r="J980" s="1" t="s">
        <v>9795</v>
      </c>
      <c r="L980" s="3" t="s">
        <v>9403</v>
      </c>
      <c r="P980" s="7" t="s">
        <v>1241</v>
      </c>
      <c r="AU980" s="15"/>
      <c r="AV980" s="1" t="s">
        <v>1502</v>
      </c>
      <c r="BG980" s="7" t="s">
        <v>1503</v>
      </c>
      <c r="BH980" s="1" t="s">
        <v>1947</v>
      </c>
      <c r="BI980" s="2" t="s">
        <v>5246</v>
      </c>
      <c r="BJ980" s="1" t="s">
        <v>2044</v>
      </c>
      <c r="BK980" s="2" t="s">
        <v>5247</v>
      </c>
      <c r="BL980" s="1" t="s">
        <v>1883</v>
      </c>
      <c r="BM980" s="2" t="s">
        <v>5248</v>
      </c>
    </row>
    <row r="981" spans="1:69" ht="180" x14ac:dyDescent="0.45">
      <c r="A981" s="5">
        <v>980</v>
      </c>
      <c r="B981" s="6" t="s">
        <v>5249</v>
      </c>
      <c r="C981" s="6" t="s">
        <v>6852</v>
      </c>
      <c r="D981" s="7" t="s">
        <v>9794</v>
      </c>
      <c r="E981" s="1" t="s">
        <v>9043</v>
      </c>
      <c r="F981" s="1" t="s">
        <v>49</v>
      </c>
      <c r="G981" s="1"/>
      <c r="J981" s="1" t="s">
        <v>9795</v>
      </c>
      <c r="K981" s="2" t="s">
        <v>9375</v>
      </c>
      <c r="L981" s="2" t="s">
        <v>9376</v>
      </c>
      <c r="P981" s="7" t="s">
        <v>1241</v>
      </c>
      <c r="AU981" s="15"/>
      <c r="AV981" s="1" t="s">
        <v>1502</v>
      </c>
      <c r="BG981" s="7" t="s">
        <v>1503</v>
      </c>
      <c r="BH981" s="1" t="s">
        <v>1947</v>
      </c>
      <c r="BI981" s="2" t="s">
        <v>5250</v>
      </c>
      <c r="BJ981" s="1" t="s">
        <v>2044</v>
      </c>
      <c r="BK981" s="2" t="s">
        <v>5251</v>
      </c>
      <c r="BL981" s="1" t="s">
        <v>1883</v>
      </c>
      <c r="BM981" s="2" t="s">
        <v>5252</v>
      </c>
    </row>
    <row r="982" spans="1:69" ht="144" x14ac:dyDescent="0.45">
      <c r="A982" s="5">
        <v>981</v>
      </c>
      <c r="B982" s="6" t="s">
        <v>721</v>
      </c>
      <c r="C982" s="6" t="s">
        <v>6852</v>
      </c>
      <c r="D982" s="7" t="s">
        <v>9794</v>
      </c>
      <c r="E982" s="1" t="s">
        <v>31</v>
      </c>
      <c r="F982" s="1" t="s">
        <v>5253</v>
      </c>
      <c r="G982" s="1"/>
      <c r="J982" s="1" t="s">
        <v>9795</v>
      </c>
      <c r="L982" s="3" t="s">
        <v>9404</v>
      </c>
      <c r="P982" s="7" t="s">
        <v>1241</v>
      </c>
      <c r="Q982" s="13" t="str">
        <f>INDEX($L:$L, MATCH("assume", $B:$B, 0))</f>
        <v>&lt;span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v>
      </c>
      <c r="R982" s="13" t="str">
        <f>INDEX($L:$L, MATCH("consume", $B:$B, 0))</f>
        <v>&lt;span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v>
      </c>
      <c r="AU982" s="15"/>
      <c r="AV982" s="1" t="s">
        <v>1502</v>
      </c>
      <c r="BG982" s="7" t="s">
        <v>1503</v>
      </c>
      <c r="BH982" s="1" t="s">
        <v>1947</v>
      </c>
      <c r="BI982" s="2" t="s">
        <v>5254</v>
      </c>
      <c r="BJ982" s="1" t="s">
        <v>1959</v>
      </c>
      <c r="BK982" s="2" t="s">
        <v>5255</v>
      </c>
      <c r="BL982" s="1" t="s">
        <v>1875</v>
      </c>
      <c r="BM982" s="2" t="s">
        <v>5256</v>
      </c>
      <c r="BN982" s="1" t="s">
        <v>1877</v>
      </c>
      <c r="BO982" s="2" t="s">
        <v>5257</v>
      </c>
    </row>
    <row r="983" spans="1:69" ht="144" x14ac:dyDescent="0.45">
      <c r="A983" s="5">
        <v>982</v>
      </c>
      <c r="B983" s="6" t="s">
        <v>722</v>
      </c>
      <c r="C983" s="6" t="s">
        <v>6852</v>
      </c>
      <c r="D983" s="7" t="s">
        <v>9794</v>
      </c>
      <c r="E983" s="1" t="s">
        <v>27</v>
      </c>
      <c r="F983" s="1" t="s">
        <v>1326</v>
      </c>
      <c r="G983" s="1" t="s">
        <v>49</v>
      </c>
      <c r="J983" s="1" t="s">
        <v>9795</v>
      </c>
      <c r="K983" s="1" t="s">
        <v>5258</v>
      </c>
      <c r="L983" s="2" t="s">
        <v>9377</v>
      </c>
      <c r="M983" s="1" t="s">
        <v>12261</v>
      </c>
      <c r="P983" s="7" t="s">
        <v>1241</v>
      </c>
      <c r="Q983" s="13"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983" s="13"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983" s="13"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983" s="13"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983" s="13"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983" s="13"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AU983" s="15"/>
      <c r="AV983" s="1" t="s">
        <v>1502</v>
      </c>
      <c r="BG983" s="7" t="s">
        <v>1503</v>
      </c>
      <c r="BH983" s="1" t="s">
        <v>1947</v>
      </c>
      <c r="BI983" s="2" t="s">
        <v>5259</v>
      </c>
      <c r="BJ983" s="1" t="s">
        <v>1959</v>
      </c>
      <c r="BK983" s="1" t="s">
        <v>5260</v>
      </c>
      <c r="BL983" s="1" t="s">
        <v>1875</v>
      </c>
      <c r="BM983" s="2" t="s">
        <v>5261</v>
      </c>
      <c r="BN983" s="1" t="s">
        <v>1877</v>
      </c>
      <c r="BO983" s="2" t="s">
        <v>5262</v>
      </c>
    </row>
    <row r="984" spans="1:69" ht="108" x14ac:dyDescent="0.45">
      <c r="A984" s="5">
        <v>983</v>
      </c>
      <c r="B984" s="6" t="s">
        <v>723</v>
      </c>
      <c r="C984" s="6" t="s">
        <v>6852</v>
      </c>
      <c r="D984" s="7" t="s">
        <v>9794</v>
      </c>
      <c r="E984" s="1" t="s">
        <v>5263</v>
      </c>
      <c r="F984" s="1" t="s">
        <v>49</v>
      </c>
      <c r="G984" s="1"/>
      <c r="J984" s="1" t="s">
        <v>9795</v>
      </c>
      <c r="K984" s="2" t="s">
        <v>9378</v>
      </c>
      <c r="L984" s="2" t="s">
        <v>9379</v>
      </c>
      <c r="M984" s="1" t="s">
        <v>12273</v>
      </c>
      <c r="P984" s="7" t="s">
        <v>1241</v>
      </c>
      <c r="Q984" s="13"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R984" s="13"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U984" s="15"/>
      <c r="AV984" s="1" t="s">
        <v>1502</v>
      </c>
      <c r="BG984" s="7" t="s">
        <v>1503</v>
      </c>
      <c r="BH984" s="1" t="s">
        <v>1976</v>
      </c>
      <c r="BI984" s="2" t="s">
        <v>5264</v>
      </c>
      <c r="BJ984" s="1" t="s">
        <v>1947</v>
      </c>
      <c r="BK984" s="2" t="s">
        <v>5265</v>
      </c>
      <c r="BL984" s="1" t="s">
        <v>1959</v>
      </c>
      <c r="BM984" s="2" t="s">
        <v>5266</v>
      </c>
      <c r="BN984" s="1" t="s">
        <v>1875</v>
      </c>
      <c r="BO984" s="2" t="s">
        <v>5267</v>
      </c>
      <c r="BP984" s="1" t="s">
        <v>1877</v>
      </c>
      <c r="BQ984" s="2" t="s">
        <v>5268</v>
      </c>
    </row>
    <row r="985" spans="1:69" ht="162" x14ac:dyDescent="0.45">
      <c r="A985" s="5">
        <v>984</v>
      </c>
      <c r="B985" s="6" t="s">
        <v>724</v>
      </c>
      <c r="C985" s="6" t="s">
        <v>6852</v>
      </c>
      <c r="D985" s="7" t="s">
        <v>9794</v>
      </c>
      <c r="E985" s="1" t="s">
        <v>5269</v>
      </c>
      <c r="F985" s="1" t="s">
        <v>5270</v>
      </c>
      <c r="G985" s="1" t="s">
        <v>49</v>
      </c>
      <c r="J985" s="1" t="s">
        <v>9795</v>
      </c>
      <c r="L985" s="2" t="s">
        <v>9380</v>
      </c>
      <c r="P985" s="7" t="s">
        <v>1241</v>
      </c>
      <c r="AU985" s="15"/>
      <c r="AV985" s="1" t="s">
        <v>1502</v>
      </c>
      <c r="BG985" s="7" t="s">
        <v>1503</v>
      </c>
      <c r="BH985" s="1" t="s">
        <v>1947</v>
      </c>
      <c r="BI985" s="2" t="s">
        <v>5271</v>
      </c>
      <c r="BJ985" s="1" t="s">
        <v>1877</v>
      </c>
      <c r="BK985" s="2" t="s">
        <v>5272</v>
      </c>
    </row>
    <row r="986" spans="1:69" ht="270" x14ac:dyDescent="0.45">
      <c r="A986" s="5">
        <v>985</v>
      </c>
      <c r="B986" s="8" t="s">
        <v>725</v>
      </c>
      <c r="C986" s="6" t="s">
        <v>6852</v>
      </c>
      <c r="D986" s="7" t="s">
        <v>9794</v>
      </c>
      <c r="E986" s="1" t="s">
        <v>1621</v>
      </c>
      <c r="F986" s="1" t="s">
        <v>5273</v>
      </c>
      <c r="G986" s="1" t="s">
        <v>5274</v>
      </c>
      <c r="J986" s="1" t="s">
        <v>9795</v>
      </c>
      <c r="L986" s="2" t="s">
        <v>9381</v>
      </c>
      <c r="M986" s="1" t="s">
        <v>12194</v>
      </c>
      <c r="P986" s="7" t="s">
        <v>1241</v>
      </c>
      <c r="Q986" s="13"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986" s="13"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S986" s="13"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986" s="13"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U986" s="13"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AU986" s="15"/>
      <c r="AV986" s="1" t="s">
        <v>1502</v>
      </c>
      <c r="BG986" s="7" t="s">
        <v>1503</v>
      </c>
      <c r="BH986" s="1" t="s">
        <v>1947</v>
      </c>
      <c r="BI986" s="2" t="s">
        <v>5275</v>
      </c>
      <c r="BJ986" s="1" t="s">
        <v>1994</v>
      </c>
      <c r="BK986" s="2" t="s">
        <v>5276</v>
      </c>
      <c r="BL986" s="1" t="s">
        <v>1996</v>
      </c>
      <c r="BM986" s="1" t="s">
        <v>5277</v>
      </c>
      <c r="BN986" s="1" t="s">
        <v>1877</v>
      </c>
      <c r="BO986" s="2" t="s">
        <v>5278</v>
      </c>
    </row>
    <row r="987" spans="1:69" ht="90" x14ac:dyDescent="0.45">
      <c r="A987" s="5">
        <v>986</v>
      </c>
      <c r="B987" s="6" t="s">
        <v>726</v>
      </c>
      <c r="C987" s="6" t="s">
        <v>6852</v>
      </c>
      <c r="D987" s="7" t="s">
        <v>9794</v>
      </c>
      <c r="E987" s="1" t="s">
        <v>5279</v>
      </c>
      <c r="F987" s="1" t="s">
        <v>1551</v>
      </c>
      <c r="G987" s="1"/>
      <c r="J987" s="1" t="s">
        <v>9795</v>
      </c>
      <c r="K987" s="1" t="s">
        <v>5280</v>
      </c>
      <c r="L987" s="2" t="s">
        <v>9382</v>
      </c>
      <c r="P987" s="7" t="s">
        <v>1241</v>
      </c>
      <c r="AU987" s="15"/>
      <c r="AV987" s="1" t="s">
        <v>1502</v>
      </c>
      <c r="BG987" s="7" t="s">
        <v>1503</v>
      </c>
      <c r="BH987" s="1" t="s">
        <v>2458</v>
      </c>
      <c r="BI987" s="2" t="s">
        <v>5281</v>
      </c>
      <c r="BJ987" s="1" t="s">
        <v>1947</v>
      </c>
      <c r="BK987" s="1" t="s">
        <v>5282</v>
      </c>
      <c r="BL987" s="1" t="s">
        <v>3408</v>
      </c>
      <c r="BM987" s="2" t="s">
        <v>5283</v>
      </c>
      <c r="BN987" s="1" t="s">
        <v>1877</v>
      </c>
      <c r="BO987" s="2" t="s">
        <v>5284</v>
      </c>
    </row>
    <row r="988" spans="1:69" ht="198" x14ac:dyDescent="0.45">
      <c r="A988" s="5">
        <v>987</v>
      </c>
      <c r="B988" s="6" t="s">
        <v>727</v>
      </c>
      <c r="C988" s="6" t="s">
        <v>6852</v>
      </c>
      <c r="D988" s="7" t="s">
        <v>9794</v>
      </c>
      <c r="E988" s="1" t="s">
        <v>5285</v>
      </c>
      <c r="F988" s="1" t="s">
        <v>1542</v>
      </c>
      <c r="G988" s="1"/>
      <c r="J988" s="1" t="s">
        <v>9795</v>
      </c>
      <c r="K988" s="2" t="s">
        <v>9383</v>
      </c>
      <c r="L988" s="2" t="s">
        <v>9384</v>
      </c>
      <c r="P988" s="7" t="s">
        <v>1241</v>
      </c>
      <c r="AU988" s="15"/>
      <c r="AV988" s="1" t="s">
        <v>1502</v>
      </c>
      <c r="BG988" s="7" t="s">
        <v>1503</v>
      </c>
      <c r="BH988" s="1" t="s">
        <v>2458</v>
      </c>
      <c r="BI988" s="2" t="s">
        <v>9385</v>
      </c>
      <c r="BJ988" s="1" t="s">
        <v>1947</v>
      </c>
      <c r="BK988" s="1" t="s">
        <v>5286</v>
      </c>
      <c r="BL988" s="1" t="s">
        <v>1967</v>
      </c>
      <c r="BM988" s="2" t="s">
        <v>5287</v>
      </c>
      <c r="BN988" s="1" t="s">
        <v>1996</v>
      </c>
      <c r="BO988" s="2" t="s">
        <v>5288</v>
      </c>
      <c r="BP988" s="1" t="s">
        <v>1877</v>
      </c>
      <c r="BQ988" s="2" t="s">
        <v>5289</v>
      </c>
    </row>
    <row r="989" spans="1:69" ht="108" x14ac:dyDescent="0.45">
      <c r="A989" s="5">
        <v>988</v>
      </c>
      <c r="B989" s="8" t="s">
        <v>728</v>
      </c>
      <c r="C989" s="6" t="s">
        <v>6852</v>
      </c>
      <c r="D989" s="7" t="s">
        <v>9794</v>
      </c>
      <c r="E989" s="1" t="s">
        <v>728</v>
      </c>
      <c r="F989" s="1"/>
      <c r="G989" s="1"/>
      <c r="J989" s="1" t="s">
        <v>9795</v>
      </c>
      <c r="L989" s="2" t="s">
        <v>9386</v>
      </c>
      <c r="M989" s="1" t="s">
        <v>12186</v>
      </c>
      <c r="P989" s="7" t="s">
        <v>1241</v>
      </c>
      <c r="Q989" s="13" t="str">
        <f>INDEX($L:$L, MATCH("flow", $B:$B, 0))</f>
        <v>&lt;span class="w"&gt;&lt;b&gt;【334.flow：流れる, 生じる】&lt;/b&gt;&lt;/span&gt;
&lt;span class="ml"&gt;印欧祖語*pleu-（流れる, 流動する）に由来する。
&lt;span class="spacer"&gt;&lt;/span&gt;印欧祖語から意味の変化はほとんどない。&lt;/span&gt;</v>
      </c>
      <c r="R989" s="13"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S989" s="13"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T989" s="13"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U989" s="13"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AU989" s="15"/>
      <c r="AV989" s="1" t="s">
        <v>1502</v>
      </c>
      <c r="BG989" s="7" t="s">
        <v>1503</v>
      </c>
      <c r="BH989" s="1" t="s">
        <v>1947</v>
      </c>
      <c r="BI989" s="2" t="s">
        <v>5290</v>
      </c>
      <c r="BJ989" s="1" t="s">
        <v>1877</v>
      </c>
      <c r="BK989" s="2" t="s">
        <v>5291</v>
      </c>
    </row>
    <row r="990" spans="1:69" ht="90" x14ac:dyDescent="0.45">
      <c r="A990" s="5">
        <v>989</v>
      </c>
      <c r="B990" s="8" t="s">
        <v>729</v>
      </c>
      <c r="C990" s="6" t="s">
        <v>6852</v>
      </c>
      <c r="D990" s="7" t="s">
        <v>9794</v>
      </c>
      <c r="E990" s="1" t="s">
        <v>5292</v>
      </c>
      <c r="F990" s="1" t="s">
        <v>49</v>
      </c>
      <c r="G990" s="1"/>
      <c r="J990" s="1" t="s">
        <v>9795</v>
      </c>
      <c r="L990" s="2" t="s">
        <v>9387</v>
      </c>
      <c r="M990" s="1" t="s">
        <v>12241</v>
      </c>
      <c r="P990" s="7" t="s">
        <v>1241</v>
      </c>
      <c r="Q990" s="13" t="str">
        <f>INDEX($L:$L, MATCH("extra", $B:$B, 0))</f>
        <v>&lt;span class="w"&gt;&lt;b&gt;【284.extra：追加の, 余分の】&lt;/b&gt;&lt;/span&gt;
&lt;span class="ml"&gt;ラテン語ex（外の）から派生したexterus（外側の）に由来する。
&lt;span class="spacer"&gt;&lt;/span&gt;「外側の」から、ある範囲を超えている＝「追加の, 余分の」という意味になる。&lt;/span&gt;</v>
      </c>
      <c r="R990" s="13" t="str">
        <f>INDEX($L:$L, MATCH("extreme", $B:$B, 0))</f>
        <v>&lt;span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v>
      </c>
      <c r="S990" s="13" t="str">
        <f>INDEX($L:$L, MATCH("exotic", $B:$B, 0))</f>
        <v>&lt;span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v>
      </c>
      <c r="AU990" s="15"/>
      <c r="AV990" s="1" t="s">
        <v>1502</v>
      </c>
      <c r="BG990" s="7" t="s">
        <v>1503</v>
      </c>
      <c r="BH990" s="1" t="s">
        <v>1947</v>
      </c>
      <c r="BI990" s="2" t="s">
        <v>5293</v>
      </c>
      <c r="BJ990" s="1" t="s">
        <v>1875</v>
      </c>
      <c r="BK990" s="2" t="s">
        <v>5294</v>
      </c>
      <c r="BL990" s="1" t="s">
        <v>1877</v>
      </c>
      <c r="BM990" s="2" t="s">
        <v>5295</v>
      </c>
    </row>
    <row r="991" spans="1:69" ht="144" x14ac:dyDescent="0.45">
      <c r="A991" s="5">
        <v>990</v>
      </c>
      <c r="B991" s="8" t="s">
        <v>730</v>
      </c>
      <c r="C991" s="6" t="s">
        <v>6852</v>
      </c>
      <c r="D991" s="7" t="s">
        <v>9794</v>
      </c>
      <c r="E991" s="1" t="s">
        <v>5296</v>
      </c>
      <c r="F991" s="1" t="s">
        <v>1528</v>
      </c>
      <c r="G991" s="1"/>
      <c r="J991" s="1" t="s">
        <v>9795</v>
      </c>
      <c r="L991" s="2" t="s">
        <v>9388</v>
      </c>
      <c r="M991" s="1" t="s">
        <v>12198</v>
      </c>
      <c r="P991" s="7" t="s">
        <v>1241</v>
      </c>
      <c r="Q991" s="13" t="str">
        <f>INDEX($L:$L, MATCH("patient", $B:$B, 0))</f>
        <v>&lt;span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v>
      </c>
      <c r="R991" s="13" t="str">
        <f>INDEX($L:$L, MATCH("passion", $B:$B, 0))</f>
        <v>&lt;span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v>
      </c>
      <c r="S991" s="13" t="str">
        <f>INDEX($L:$L, MATCH("compassion", $B:$B, 0))</f>
        <v>&lt;span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v>
      </c>
      <c r="AU991" s="15"/>
      <c r="AV991" s="1" t="s">
        <v>1502</v>
      </c>
      <c r="BG991" s="7" t="s">
        <v>1503</v>
      </c>
      <c r="BH991" s="1" t="s">
        <v>1947</v>
      </c>
      <c r="BI991" s="2" t="s">
        <v>9389</v>
      </c>
      <c r="BJ991" s="1" t="s">
        <v>1959</v>
      </c>
      <c r="BK991" s="1" t="s">
        <v>5297</v>
      </c>
      <c r="BL991" s="1" t="s">
        <v>1875</v>
      </c>
      <c r="BM991" s="2" t="s">
        <v>5298</v>
      </c>
      <c r="BN991" s="1" t="s">
        <v>1877</v>
      </c>
      <c r="BO991" s="2" t="s">
        <v>5299</v>
      </c>
    </row>
    <row r="992" spans="1:69" ht="252" x14ac:dyDescent="0.45">
      <c r="A992" s="5">
        <v>991</v>
      </c>
      <c r="B992" s="6" t="s">
        <v>731</v>
      </c>
      <c r="C992" s="6" t="s">
        <v>6852</v>
      </c>
      <c r="D992" s="7" t="s">
        <v>9794</v>
      </c>
      <c r="E992" s="1" t="s">
        <v>5300</v>
      </c>
      <c r="F992" s="1" t="s">
        <v>1821</v>
      </c>
      <c r="G992" s="1"/>
      <c r="J992" s="1" t="s">
        <v>9795</v>
      </c>
      <c r="L992" s="2" t="s">
        <v>9390</v>
      </c>
      <c r="P992" s="7" t="s">
        <v>1241</v>
      </c>
      <c r="AU992" s="15"/>
      <c r="AV992" s="1" t="s">
        <v>1502</v>
      </c>
      <c r="BG992" s="7" t="s">
        <v>1503</v>
      </c>
      <c r="BH992" s="1" t="s">
        <v>1872</v>
      </c>
      <c r="BI992" s="2" t="s">
        <v>5301</v>
      </c>
      <c r="BJ992" s="1" t="s">
        <v>1875</v>
      </c>
      <c r="BK992" s="2" t="s">
        <v>5302</v>
      </c>
      <c r="BL992" s="1" t="s">
        <v>1877</v>
      </c>
      <c r="BM992" s="2" t="s">
        <v>5303</v>
      </c>
    </row>
    <row r="993" spans="1:69" ht="108" x14ac:dyDescent="0.45">
      <c r="A993" s="5">
        <v>992</v>
      </c>
      <c r="B993" s="6" t="s">
        <v>5304</v>
      </c>
      <c r="C993" s="6" t="s">
        <v>6852</v>
      </c>
      <c r="D993" s="7" t="s">
        <v>9794</v>
      </c>
      <c r="E993" s="1" t="s">
        <v>1941</v>
      </c>
      <c r="F993" s="1" t="s">
        <v>66</v>
      </c>
      <c r="G993" s="1" t="s">
        <v>1819</v>
      </c>
      <c r="J993" s="1" t="s">
        <v>9795</v>
      </c>
      <c r="K993" s="1" t="s">
        <v>5305</v>
      </c>
      <c r="L993" s="2" t="s">
        <v>9391</v>
      </c>
      <c r="M993" s="1" t="s">
        <v>12178</v>
      </c>
      <c r="P993" s="7" t="s">
        <v>1241</v>
      </c>
      <c r="Q993" s="13"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R993" s="13"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S993" s="13"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T993" s="13"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U993" s="15"/>
      <c r="AV993" s="1" t="s">
        <v>1502</v>
      </c>
      <c r="BG993" s="7" t="s">
        <v>1503</v>
      </c>
      <c r="BH993" s="1" t="s">
        <v>1877</v>
      </c>
      <c r="BI993" s="2" t="s">
        <v>5306</v>
      </c>
    </row>
    <row r="994" spans="1:69" ht="162" x14ac:dyDescent="0.45">
      <c r="A994" s="5">
        <v>993</v>
      </c>
      <c r="B994" s="8" t="s">
        <v>732</v>
      </c>
      <c r="C994" s="6" t="s">
        <v>6852</v>
      </c>
      <c r="D994" s="7" t="s">
        <v>9794</v>
      </c>
      <c r="E994" s="1" t="s">
        <v>5307</v>
      </c>
      <c r="F994" s="1" t="s">
        <v>5308</v>
      </c>
      <c r="G994" s="1"/>
      <c r="J994" s="1" t="s">
        <v>9795</v>
      </c>
      <c r="K994" s="1" t="s">
        <v>5309</v>
      </c>
      <c r="L994" s="2" t="s">
        <v>9392</v>
      </c>
      <c r="P994" s="7" t="s">
        <v>1241</v>
      </c>
      <c r="AU994" s="15"/>
      <c r="AV994" s="1" t="s">
        <v>1502</v>
      </c>
      <c r="BG994" s="7" t="s">
        <v>1503</v>
      </c>
      <c r="BH994" s="1" t="s">
        <v>1976</v>
      </c>
      <c r="BI994" s="1" t="s">
        <v>9393</v>
      </c>
      <c r="BJ994" s="1" t="s">
        <v>1947</v>
      </c>
      <c r="BK994" s="2" t="s">
        <v>5310</v>
      </c>
      <c r="BL994" s="1" t="s">
        <v>1959</v>
      </c>
      <c r="BM994" s="2" t="s">
        <v>5311</v>
      </c>
      <c r="BN994" s="1" t="s">
        <v>1875</v>
      </c>
      <c r="BO994" s="2" t="s">
        <v>5312</v>
      </c>
    </row>
    <row r="995" spans="1:69" ht="54" x14ac:dyDescent="0.45">
      <c r="A995" s="5">
        <v>994</v>
      </c>
      <c r="B995" s="6" t="s">
        <v>733</v>
      </c>
      <c r="C995" s="6" t="s">
        <v>6852</v>
      </c>
      <c r="D995" s="7" t="s">
        <v>9794</v>
      </c>
      <c r="E995" s="1" t="s">
        <v>733</v>
      </c>
      <c r="F995" s="1"/>
      <c r="G995" s="1"/>
      <c r="J995" s="1" t="s">
        <v>9795</v>
      </c>
      <c r="L995" s="2" t="s">
        <v>9394</v>
      </c>
      <c r="P995" s="7" t="s">
        <v>1241</v>
      </c>
      <c r="AU995" s="15"/>
      <c r="AV995" s="1" t="s">
        <v>1502</v>
      </c>
      <c r="BG995" s="7" t="s">
        <v>1503</v>
      </c>
      <c r="BH995" s="1" t="s">
        <v>1877</v>
      </c>
      <c r="BI995" s="2" t="s">
        <v>5313</v>
      </c>
    </row>
    <row r="996" spans="1:69" ht="162" x14ac:dyDescent="0.45">
      <c r="A996" s="5">
        <v>995</v>
      </c>
      <c r="B996" s="8" t="s">
        <v>734</v>
      </c>
      <c r="C996" s="6" t="s">
        <v>6852</v>
      </c>
      <c r="D996" s="7" t="s">
        <v>9794</v>
      </c>
      <c r="E996" s="1" t="s">
        <v>9044</v>
      </c>
      <c r="F996" s="1" t="s">
        <v>1456</v>
      </c>
      <c r="G996" s="1"/>
      <c r="J996" s="1" t="s">
        <v>9795</v>
      </c>
      <c r="K996" s="1" t="s">
        <v>9405</v>
      </c>
      <c r="L996" s="2" t="s">
        <v>10685</v>
      </c>
      <c r="M996" s="1" t="s">
        <v>12247</v>
      </c>
      <c r="P996" s="7" t="s">
        <v>1241</v>
      </c>
      <c r="AU996" s="15"/>
      <c r="AV996" s="1" t="s">
        <v>1502</v>
      </c>
      <c r="BG996" s="7" t="s">
        <v>1503</v>
      </c>
      <c r="BH996" s="1" t="s">
        <v>1947</v>
      </c>
      <c r="BI996" s="2" t="s">
        <v>5314</v>
      </c>
      <c r="BJ996" s="1" t="s">
        <v>2036</v>
      </c>
      <c r="BK996" s="2" t="s">
        <v>5315</v>
      </c>
      <c r="BL996" s="1" t="s">
        <v>1877</v>
      </c>
      <c r="BM996" s="2" t="s">
        <v>5316</v>
      </c>
    </row>
    <row r="997" spans="1:69" ht="90" x14ac:dyDescent="0.45">
      <c r="A997" s="5">
        <v>996</v>
      </c>
      <c r="B997" s="8" t="s">
        <v>735</v>
      </c>
      <c r="C997" s="6" t="s">
        <v>6852</v>
      </c>
      <c r="D997" s="7" t="s">
        <v>9794</v>
      </c>
      <c r="E997" s="1" t="s">
        <v>5317</v>
      </c>
      <c r="F997" s="1" t="s">
        <v>1698</v>
      </c>
      <c r="G997" s="1"/>
      <c r="J997" s="1" t="s">
        <v>9795</v>
      </c>
      <c r="K997" s="1" t="s">
        <v>9395</v>
      </c>
      <c r="L997" s="2" t="s">
        <v>9396</v>
      </c>
      <c r="P997" s="7" t="s">
        <v>1241</v>
      </c>
      <c r="Q997" s="13" t="str">
        <f>INDEX($L:$L, MATCH("urge", $B:$B, 0))</f>
        <v>&lt;span class="w"&gt;&lt;b&gt;【709.urge：〜に（強く）促す】&lt;/b&gt;&lt;/span&gt;
&lt;span class="ml"&gt;ラテン語urgere（強く押す, 駆り立てる）に由来する。
&lt;span class="spacer"&gt;&lt;/span&gt;強く押すことから、相手の背中を強く押して促す＝「強く促す」という意味になった。&lt;/span&gt;</v>
      </c>
      <c r="AU997" s="15"/>
      <c r="AV997" s="1" t="s">
        <v>1502</v>
      </c>
      <c r="BG997" s="7" t="s">
        <v>1503</v>
      </c>
      <c r="BH997" s="1" t="s">
        <v>1947</v>
      </c>
      <c r="BI997" s="2" t="s">
        <v>5318</v>
      </c>
      <c r="BJ997" s="1" t="s">
        <v>1959</v>
      </c>
      <c r="BK997" s="2" t="s">
        <v>5319</v>
      </c>
      <c r="BL997" s="1" t="s">
        <v>1875</v>
      </c>
      <c r="BM997" s="2" t="s">
        <v>5320</v>
      </c>
    </row>
    <row r="998" spans="1:69" ht="144" x14ac:dyDescent="0.45">
      <c r="A998" s="5">
        <v>997</v>
      </c>
      <c r="B998" s="8" t="s">
        <v>736</v>
      </c>
      <c r="C998" s="6" t="s">
        <v>6852</v>
      </c>
      <c r="D998" s="7" t="s">
        <v>9794</v>
      </c>
      <c r="E998" s="1" t="s">
        <v>5321</v>
      </c>
      <c r="F998" s="1" t="s">
        <v>5322</v>
      </c>
      <c r="G998" s="1"/>
      <c r="J998" s="1" t="s">
        <v>9795</v>
      </c>
      <c r="L998" s="2" t="s">
        <v>9397</v>
      </c>
      <c r="P998" s="7" t="s">
        <v>1241</v>
      </c>
      <c r="Q998" s="13" t="str">
        <f>INDEX($L:$L, MATCH("inspire", $B:$B, 0))</f>
        <v>&lt;span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v>
      </c>
      <c r="AU998" s="15"/>
      <c r="AV998" s="1" t="s">
        <v>1502</v>
      </c>
      <c r="BG998" s="7" t="s">
        <v>1503</v>
      </c>
      <c r="BH998" s="1" t="s">
        <v>1947</v>
      </c>
      <c r="BI998" s="2" t="s">
        <v>5323</v>
      </c>
      <c r="BJ998" s="1" t="s">
        <v>1959</v>
      </c>
      <c r="BK998" s="2" t="s">
        <v>5324</v>
      </c>
      <c r="BL998" s="1" t="s">
        <v>1875</v>
      </c>
      <c r="BM998" s="2" t="s">
        <v>5325</v>
      </c>
    </row>
    <row r="999" spans="1:69" ht="144" x14ac:dyDescent="0.45">
      <c r="A999" s="5">
        <v>998</v>
      </c>
      <c r="B999" s="8" t="s">
        <v>737</v>
      </c>
      <c r="C999" s="6" t="s">
        <v>6852</v>
      </c>
      <c r="D999" s="7" t="s">
        <v>9794</v>
      </c>
      <c r="E999" s="1" t="s">
        <v>5326</v>
      </c>
      <c r="F999" s="1" t="s">
        <v>5327</v>
      </c>
      <c r="G999" s="1"/>
      <c r="J999" s="1" t="s">
        <v>9795</v>
      </c>
      <c r="L999" s="2" t="s">
        <v>9398</v>
      </c>
      <c r="M999" s="1" t="s">
        <v>12219</v>
      </c>
      <c r="P999" s="7" t="s">
        <v>1241</v>
      </c>
      <c r="Q999" s="13"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R999" s="13"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S999" s="13"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T999" s="13"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U999" s="13"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AU999" s="15"/>
      <c r="AV999" s="1" t="s">
        <v>1502</v>
      </c>
      <c r="BG999" s="7" t="s">
        <v>1503</v>
      </c>
      <c r="BH999" s="1" t="s">
        <v>1947</v>
      </c>
      <c r="BI999" s="2" t="s">
        <v>5328</v>
      </c>
      <c r="BJ999" s="1" t="s">
        <v>1959</v>
      </c>
      <c r="BK999" s="2" t="s">
        <v>5329</v>
      </c>
      <c r="BL999" s="1" t="s">
        <v>1877</v>
      </c>
      <c r="BM999" s="2" t="s">
        <v>5330</v>
      </c>
    </row>
    <row r="1000" spans="1:69" ht="126" x14ac:dyDescent="0.45">
      <c r="A1000" s="5">
        <v>999</v>
      </c>
      <c r="B1000" s="6" t="s">
        <v>738</v>
      </c>
      <c r="C1000" s="6" t="s">
        <v>6852</v>
      </c>
      <c r="D1000" s="7" t="s">
        <v>9794</v>
      </c>
      <c r="E1000" s="1" t="s">
        <v>738</v>
      </c>
      <c r="F1000" s="1"/>
      <c r="G1000" s="1"/>
      <c r="J1000" s="1" t="s">
        <v>9795</v>
      </c>
      <c r="K1000" s="2" t="s">
        <v>9399</v>
      </c>
      <c r="L1000" s="2" t="s">
        <v>9400</v>
      </c>
      <c r="P1000" s="7" t="s">
        <v>1241</v>
      </c>
      <c r="AU1000" s="15"/>
      <c r="AV1000" s="1" t="s">
        <v>1502</v>
      </c>
      <c r="BG1000" s="7" t="s">
        <v>1503</v>
      </c>
      <c r="BH1000" s="1" t="s">
        <v>1872</v>
      </c>
      <c r="BI1000" s="2" t="s">
        <v>5331</v>
      </c>
      <c r="BJ1000" s="1" t="s">
        <v>1875</v>
      </c>
      <c r="BK1000" s="2" t="s">
        <v>5332</v>
      </c>
    </row>
    <row r="1001" spans="1:69" ht="54" x14ac:dyDescent="0.45">
      <c r="A1001" s="5">
        <v>1000</v>
      </c>
      <c r="B1001" s="8" t="s">
        <v>739</v>
      </c>
      <c r="C1001" s="6" t="s">
        <v>6854</v>
      </c>
      <c r="D1001" s="7" t="s">
        <v>9794</v>
      </c>
      <c r="E1001" s="1" t="s">
        <v>5333</v>
      </c>
      <c r="F1001" s="1" t="s">
        <v>1555</v>
      </c>
      <c r="G1001" s="1" t="s">
        <v>1556</v>
      </c>
      <c r="J1001" s="1" t="s">
        <v>9795</v>
      </c>
      <c r="L1001" s="2" t="s">
        <v>9401</v>
      </c>
      <c r="P1001" s="7" t="s">
        <v>1241</v>
      </c>
      <c r="Q1001" s="13" t="str">
        <f>INDEX($L:$L, MATCH("nevertheless", $B:$B, 0))</f>
        <v>&lt;span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v>
      </c>
      <c r="AU1001" s="15"/>
      <c r="AV1001" s="1" t="s">
        <v>1502</v>
      </c>
      <c r="BG1001" s="7" t="s">
        <v>1503</v>
      </c>
      <c r="BH1001" s="1" t="s">
        <v>1877</v>
      </c>
      <c r="BI1001" s="2" t="s">
        <v>5334</v>
      </c>
      <c r="BJ1001" s="1" t="s">
        <v>3497</v>
      </c>
      <c r="BK1001" s="2" t="s">
        <v>5335</v>
      </c>
    </row>
    <row r="1002" spans="1:69" ht="162" x14ac:dyDescent="0.45">
      <c r="A1002" s="5">
        <v>1001</v>
      </c>
      <c r="B1002" s="6" t="s">
        <v>740</v>
      </c>
      <c r="C1002" s="6" t="s">
        <v>1816</v>
      </c>
      <c r="D1002" s="7" t="s">
        <v>9794</v>
      </c>
      <c r="E1002" s="1" t="s">
        <v>4297</v>
      </c>
      <c r="F1002" s="1" t="s">
        <v>5336</v>
      </c>
      <c r="G1002" s="1"/>
      <c r="J1002" s="1" t="s">
        <v>9795</v>
      </c>
      <c r="L1002" s="2" t="s">
        <v>9406</v>
      </c>
      <c r="P1002" s="7" t="s">
        <v>1241</v>
      </c>
      <c r="AT1002" s="15"/>
      <c r="AU1002" s="15"/>
      <c r="AV1002" s="1" t="s">
        <v>1502</v>
      </c>
      <c r="BG1002" s="7" t="s">
        <v>1503</v>
      </c>
      <c r="BH1002" s="2" t="s">
        <v>1947</v>
      </c>
      <c r="BI1002" s="2" t="s">
        <v>5337</v>
      </c>
      <c r="BJ1002" s="1" t="s">
        <v>1877</v>
      </c>
      <c r="BK1002" s="2" t="s">
        <v>5338</v>
      </c>
    </row>
    <row r="1003" spans="1:69" ht="108" x14ac:dyDescent="0.45">
      <c r="A1003" s="5">
        <v>1002</v>
      </c>
      <c r="B1003" s="6" t="s">
        <v>741</v>
      </c>
      <c r="C1003" s="6" t="s">
        <v>1816</v>
      </c>
      <c r="D1003" s="7" t="s">
        <v>9794</v>
      </c>
      <c r="E1003" s="6" t="s">
        <v>741</v>
      </c>
      <c r="F1003" s="1"/>
      <c r="G1003" s="1"/>
      <c r="J1003" s="1" t="s">
        <v>9795</v>
      </c>
      <c r="L1003" s="2" t="s">
        <v>9407</v>
      </c>
      <c r="P1003" s="7" t="s">
        <v>1241</v>
      </c>
      <c r="Q1003" s="13" t="str">
        <f>INDEX($L:$L, MATCH("grab", $B:$B, 0))</f>
        <v>&lt;span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v>
      </c>
      <c r="R1003" s="13" t="str">
        <f>INDEX($L:$L, MATCH("grip", $B:$B, 0))</f>
        <v>&lt;span class="w"&gt;&lt;b&gt;【1113.grip：〜を握る】&lt;/b&gt;&lt;/span&gt;
&lt;span class="ml"&gt;古英語grippan（つかむ, 握る）にさかのぼる。
&lt;span class="spacer"&gt;&lt;/span&gt;古英語から意味の変化はない。&lt;/span&gt;</v>
      </c>
      <c r="AU1003" s="15"/>
      <c r="AV1003" s="1" t="s">
        <v>1502</v>
      </c>
      <c r="BG1003" s="7" t="s">
        <v>1503</v>
      </c>
      <c r="BH1003" s="1" t="s">
        <v>1976</v>
      </c>
      <c r="BI1003" s="2" t="s">
        <v>5339</v>
      </c>
      <c r="BJ1003" s="1" t="s">
        <v>1872</v>
      </c>
      <c r="BK1003" s="1" t="s">
        <v>5340</v>
      </c>
      <c r="BL1003" s="1" t="s">
        <v>1875</v>
      </c>
      <c r="BM1003" s="2" t="s">
        <v>5341</v>
      </c>
      <c r="BN1003" s="1" t="s">
        <v>1877</v>
      </c>
      <c r="BO1003" s="2" t="s">
        <v>5342</v>
      </c>
    </row>
    <row r="1004" spans="1:69" ht="108" x14ac:dyDescent="0.45">
      <c r="A1004" s="5">
        <v>1003</v>
      </c>
      <c r="B1004" s="6" t="s">
        <v>742</v>
      </c>
      <c r="C1004" s="6" t="s">
        <v>1816</v>
      </c>
      <c r="D1004" s="7" t="s">
        <v>9794</v>
      </c>
      <c r="E1004" s="1" t="s">
        <v>5343</v>
      </c>
      <c r="F1004" s="1" t="s">
        <v>5344</v>
      </c>
      <c r="G1004" s="1"/>
      <c r="J1004" s="1" t="s">
        <v>9795</v>
      </c>
      <c r="K1004" s="2" t="s">
        <v>9408</v>
      </c>
      <c r="L1004" s="2" t="s">
        <v>9409</v>
      </c>
      <c r="P1004" s="7" t="s">
        <v>1241</v>
      </c>
      <c r="AU1004" s="15"/>
      <c r="AV1004" s="1" t="s">
        <v>1502</v>
      </c>
      <c r="BG1004" s="7" t="s">
        <v>1503</v>
      </c>
      <c r="BH1004" s="1" t="s">
        <v>1947</v>
      </c>
      <c r="BI1004" s="2" t="s">
        <v>5345</v>
      </c>
      <c r="BJ1004" s="1" t="s">
        <v>1959</v>
      </c>
      <c r="BK1004" s="2" t="s">
        <v>5346</v>
      </c>
      <c r="BL1004" s="1" t="s">
        <v>1875</v>
      </c>
      <c r="BM1004" s="2" t="s">
        <v>5347</v>
      </c>
      <c r="BN1004" s="1" t="s">
        <v>1877</v>
      </c>
      <c r="BO1004" s="2" t="s">
        <v>5348</v>
      </c>
    </row>
    <row r="1005" spans="1:69" ht="409.6" x14ac:dyDescent="0.45">
      <c r="A1005" s="5">
        <v>1004</v>
      </c>
      <c r="B1005" s="8" t="s">
        <v>743</v>
      </c>
      <c r="C1005" s="6" t="s">
        <v>1816</v>
      </c>
      <c r="D1005" s="7" t="s">
        <v>9794</v>
      </c>
      <c r="E1005" s="1" t="s">
        <v>1542</v>
      </c>
      <c r="F1005" s="1" t="s">
        <v>1251</v>
      </c>
      <c r="G1005" s="1" t="s">
        <v>1427</v>
      </c>
      <c r="J1005" s="1" t="s">
        <v>9795</v>
      </c>
      <c r="L1005" s="3" t="s">
        <v>9420</v>
      </c>
      <c r="P1005" s="7" t="s">
        <v>1241</v>
      </c>
      <c r="Q1005" s="16"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1005" s="16"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1005" s="16"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1005" s="16"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1005" s="16"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1005" s="16"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W1005" s="16"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X1005" s="16"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Y1005" s="16"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Z1005" s="16"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1005" s="16"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1005" s="19"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1005" s="19"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1005" s="19"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1005" s="19"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1005" s="19"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1005" s="19"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1005" s="19"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1005" s="19"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1005" s="19"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1005" s="19"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1005" s="19"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1005" s="19"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1005" s="19"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1005" s="19"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005" s="19"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005" s="1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1005" s="1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1005" s="1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1005" s="1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1005" s="2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1005" s="1" t="s">
        <v>1502</v>
      </c>
      <c r="BG1005" s="7" t="s">
        <v>1503</v>
      </c>
      <c r="BH1005" s="1" t="s">
        <v>1947</v>
      </c>
      <c r="BI1005" s="2" t="s">
        <v>5349</v>
      </c>
      <c r="BJ1005" s="1" t="s">
        <v>1967</v>
      </c>
      <c r="BK1005" s="2" t="s">
        <v>5350</v>
      </c>
      <c r="BL1005" s="1" t="s">
        <v>1959</v>
      </c>
      <c r="BM1005" s="2" t="s">
        <v>5351</v>
      </c>
      <c r="BN1005" s="1" t="s">
        <v>1875</v>
      </c>
      <c r="BO1005" s="2" t="s">
        <v>5352</v>
      </c>
      <c r="BP1005" s="1" t="s">
        <v>1877</v>
      </c>
      <c r="BQ1005" s="2" t="s">
        <v>5353</v>
      </c>
    </row>
    <row r="1006" spans="1:69" ht="144" x14ac:dyDescent="0.45">
      <c r="A1006" s="5">
        <v>1005</v>
      </c>
      <c r="B1006" s="6" t="s">
        <v>744</v>
      </c>
      <c r="C1006" s="6" t="s">
        <v>1816</v>
      </c>
      <c r="D1006" s="7" t="s">
        <v>9794</v>
      </c>
      <c r="E1006" s="6" t="s">
        <v>744</v>
      </c>
      <c r="F1006" s="1"/>
      <c r="G1006" s="1"/>
      <c r="J1006" s="1" t="s">
        <v>9795</v>
      </c>
      <c r="K1006" s="2"/>
      <c r="L1006" s="2" t="s">
        <v>9410</v>
      </c>
      <c r="P1006" s="7" t="s">
        <v>1241</v>
      </c>
      <c r="AV1006" s="1" t="s">
        <v>1502</v>
      </c>
      <c r="BG1006" s="7" t="s">
        <v>1503</v>
      </c>
      <c r="BH1006" s="1" t="s">
        <v>1872</v>
      </c>
      <c r="BI1006" s="1" t="s">
        <v>5354</v>
      </c>
      <c r="BJ1006" s="1" t="s">
        <v>1875</v>
      </c>
      <c r="BK1006" s="2" t="s">
        <v>5355</v>
      </c>
    </row>
    <row r="1007" spans="1:69" ht="198" x14ac:dyDescent="0.45">
      <c r="A1007" s="5">
        <v>1006</v>
      </c>
      <c r="B1007" s="6" t="s">
        <v>745</v>
      </c>
      <c r="C1007" s="6" t="s">
        <v>1816</v>
      </c>
      <c r="D1007" s="7" t="s">
        <v>9794</v>
      </c>
      <c r="E1007" s="6" t="s">
        <v>745</v>
      </c>
      <c r="F1007" s="1"/>
      <c r="G1007" s="1"/>
      <c r="J1007" s="1" t="s">
        <v>9795</v>
      </c>
      <c r="K1007" s="1" t="s">
        <v>5356</v>
      </c>
      <c r="L1007" s="2" t="s">
        <v>9411</v>
      </c>
      <c r="P1007" s="7" t="s">
        <v>1241</v>
      </c>
      <c r="AU1007" s="15"/>
      <c r="AV1007" s="1" t="s">
        <v>1502</v>
      </c>
      <c r="BG1007" s="7" t="s">
        <v>1503</v>
      </c>
      <c r="BH1007" s="1" t="s">
        <v>1875</v>
      </c>
      <c r="BI1007" s="2" t="s">
        <v>5357</v>
      </c>
      <c r="BJ1007" s="1" t="s">
        <v>1877</v>
      </c>
      <c r="BK1007" s="2" t="s">
        <v>5358</v>
      </c>
    </row>
    <row r="1008" spans="1:69" ht="72" x14ac:dyDescent="0.45">
      <c r="A1008" s="5">
        <v>1007</v>
      </c>
      <c r="B1008" s="6" t="s">
        <v>746</v>
      </c>
      <c r="C1008" s="6" t="s">
        <v>1816</v>
      </c>
      <c r="D1008" s="7" t="s">
        <v>9794</v>
      </c>
      <c r="E1008" s="6" t="s">
        <v>746</v>
      </c>
      <c r="F1008" s="1"/>
      <c r="G1008" s="1"/>
      <c r="J1008" s="1" t="s">
        <v>9795</v>
      </c>
      <c r="K1008" s="1" t="s">
        <v>5359</v>
      </c>
      <c r="L1008" s="2" t="s">
        <v>9412</v>
      </c>
      <c r="P1008" s="7" t="s">
        <v>1241</v>
      </c>
      <c r="AU1008" s="15"/>
      <c r="AV1008" s="1" t="s">
        <v>1502</v>
      </c>
      <c r="BG1008" s="7" t="s">
        <v>1503</v>
      </c>
      <c r="BH1008" s="1" t="s">
        <v>1877</v>
      </c>
      <c r="BI1008" s="2" t="s">
        <v>5360</v>
      </c>
    </row>
    <row r="1009" spans="1:69" ht="180" x14ac:dyDescent="0.45">
      <c r="A1009" s="5">
        <v>1008</v>
      </c>
      <c r="B1009" s="6" t="s">
        <v>747</v>
      </c>
      <c r="C1009" s="6" t="s">
        <v>1816</v>
      </c>
      <c r="D1009" s="7" t="s">
        <v>9794</v>
      </c>
      <c r="E1009" s="1" t="s">
        <v>5361</v>
      </c>
      <c r="F1009" s="1" t="s">
        <v>953</v>
      </c>
      <c r="G1009" s="1"/>
      <c r="J1009" s="1" t="s">
        <v>9795</v>
      </c>
      <c r="L1009" s="2" t="s">
        <v>9421</v>
      </c>
      <c r="P1009" s="7" t="s">
        <v>1241</v>
      </c>
      <c r="Q1009" s="13" t="str">
        <f>INDEX($L:$L, MATCH("cast", $B:$B, 0))</f>
        <v>&lt;span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v>
      </c>
      <c r="AU1009" s="15"/>
      <c r="AV1009" s="1" t="s">
        <v>1502</v>
      </c>
      <c r="BG1009" s="7" t="s">
        <v>1503</v>
      </c>
      <c r="BH1009" s="1" t="s">
        <v>1875</v>
      </c>
      <c r="BI1009" s="2" t="s">
        <v>5362</v>
      </c>
    </row>
    <row r="1010" spans="1:69" ht="198" x14ac:dyDescent="0.45">
      <c r="A1010" s="5">
        <v>1009</v>
      </c>
      <c r="B1010" s="8" t="s">
        <v>748</v>
      </c>
      <c r="C1010" s="6" t="s">
        <v>1816</v>
      </c>
      <c r="D1010" s="7" t="s">
        <v>9794</v>
      </c>
      <c r="E1010" s="1" t="s">
        <v>1413</v>
      </c>
      <c r="F1010" s="1" t="s">
        <v>44</v>
      </c>
      <c r="G1010" s="1"/>
      <c r="J1010" s="1" t="s">
        <v>9795</v>
      </c>
      <c r="K1010" s="2"/>
      <c r="L1010" s="3" t="s">
        <v>9422</v>
      </c>
      <c r="M1010" s="1" t="s">
        <v>12166</v>
      </c>
      <c r="P1010" s="7" t="s">
        <v>1241</v>
      </c>
      <c r="Q1010" s="14" t="str">
        <f>INDEX($L:$L, MATCH("include", $B:$B, 0))</f>
        <v>&lt;span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v>
      </c>
      <c r="R1010" s="14" t="str">
        <f>INDEX($L:$L, MATCH("conclude", $B:$B, 0))</f>
        <v>&lt;span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v>
      </c>
      <c r="AU1010" s="15"/>
      <c r="AV1010" s="1" t="s">
        <v>1502</v>
      </c>
      <c r="BG1010" s="7" t="s">
        <v>1503</v>
      </c>
      <c r="BH1010" s="1" t="s">
        <v>1947</v>
      </c>
      <c r="BI1010" s="2" t="s">
        <v>5363</v>
      </c>
      <c r="BJ1010" s="1" t="s">
        <v>1875</v>
      </c>
      <c r="BK1010" s="2" t="s">
        <v>5364</v>
      </c>
    </row>
    <row r="1011" spans="1:69" ht="180" x14ac:dyDescent="0.45">
      <c r="A1011" s="5">
        <v>1010</v>
      </c>
      <c r="B1011" s="6" t="s">
        <v>749</v>
      </c>
      <c r="C1011" s="6" t="s">
        <v>1816</v>
      </c>
      <c r="D1011" s="7" t="s">
        <v>9794</v>
      </c>
      <c r="E1011" s="1" t="s">
        <v>1537</v>
      </c>
      <c r="F1011" s="1" t="s">
        <v>5365</v>
      </c>
      <c r="G1011" s="1"/>
      <c r="J1011" s="1" t="s">
        <v>9795</v>
      </c>
      <c r="L1011" s="2" t="s">
        <v>9413</v>
      </c>
      <c r="P1011" s="7" t="s">
        <v>1241</v>
      </c>
      <c r="Q1011" s="13" t="str">
        <f>INDEX($L:$L, MATCH("outlook", $B:$B, 0))</f>
        <v>&lt;span class="w"&gt;&lt;b&gt;【1461.outlook：考え方, 見通し, 眺め】&lt;/b&gt;&lt;/span&gt;
&lt;span class="ml"&gt;近代英語にさかのぼり、以下の2つの要素から成る。
&lt;span class="spacer"&gt;&lt;/span&gt;out（外へ）
look（見る）
&lt;span class="spacer"&gt;&lt;/span&gt;もともとは外を見る場所、見張りの場所を表し、そこから、実際に視界に入ってくる外の「眺め」という意味になった。
&lt;span class="spacer"&gt;&lt;/span&gt;また比喩的に、自分の頭や心を通した外の世界（物事・社会）の眺め方、つまり「考え方」という意味にもなった。
&lt;span class="spacer"&gt;&lt;/span&gt;さらに、いま現在の立ち位置から未来を眺めることから、将来の「見通し」という意味にもなった。
&lt;div class="sample_image outlook"&gt;&lt;/div&gt;&lt;/span&gt;</v>
      </c>
      <c r="AU1011" s="15"/>
      <c r="AV1011" s="1" t="s">
        <v>38</v>
      </c>
      <c r="BG1011" s="7" t="s">
        <v>1242</v>
      </c>
      <c r="BH1011" s="1" t="s">
        <v>1875</v>
      </c>
      <c r="BI1011" s="2" t="s">
        <v>5366</v>
      </c>
      <c r="BJ1011" s="1" t="s">
        <v>1877</v>
      </c>
      <c r="BK1011" s="2" t="s">
        <v>5367</v>
      </c>
    </row>
    <row r="1012" spans="1:69" ht="90" x14ac:dyDescent="0.45">
      <c r="A1012" s="5">
        <v>1011</v>
      </c>
      <c r="B1012" s="6" t="s">
        <v>750</v>
      </c>
      <c r="C1012" s="6" t="s">
        <v>1816</v>
      </c>
      <c r="D1012" s="7" t="s">
        <v>9794</v>
      </c>
      <c r="E1012" s="6" t="s">
        <v>750</v>
      </c>
      <c r="F1012" s="1"/>
      <c r="G1012" s="1"/>
      <c r="J1012" s="1" t="s">
        <v>9795</v>
      </c>
      <c r="K1012" s="1" t="s">
        <v>5368</v>
      </c>
      <c r="L1012" s="2" t="s">
        <v>9414</v>
      </c>
      <c r="P1012" s="7" t="s">
        <v>1241</v>
      </c>
      <c r="AV1012" s="1" t="s">
        <v>38</v>
      </c>
      <c r="BG1012" s="7" t="s">
        <v>1242</v>
      </c>
      <c r="BH1012" s="1" t="s">
        <v>1872</v>
      </c>
      <c r="BI1012" s="1" t="s">
        <v>5369</v>
      </c>
      <c r="BJ1012" s="1" t="s">
        <v>1875</v>
      </c>
      <c r="BK1012" s="2" t="s">
        <v>5370</v>
      </c>
      <c r="BL1012" s="1" t="s">
        <v>1877</v>
      </c>
      <c r="BM1012" s="2" t="s">
        <v>5371</v>
      </c>
    </row>
    <row r="1013" spans="1:69" ht="162" x14ac:dyDescent="0.45">
      <c r="A1013" s="5">
        <v>1012</v>
      </c>
      <c r="B1013" s="6" t="s">
        <v>751</v>
      </c>
      <c r="C1013" s="6" t="s">
        <v>1816</v>
      </c>
      <c r="D1013" s="7" t="s">
        <v>9794</v>
      </c>
      <c r="E1013" s="1" t="s">
        <v>751</v>
      </c>
      <c r="F1013" s="1"/>
      <c r="G1013" s="1"/>
      <c r="J1013" s="1" t="s">
        <v>9795</v>
      </c>
      <c r="K1013" s="1" t="s">
        <v>5372</v>
      </c>
      <c r="L1013" s="2" t="s">
        <v>9415</v>
      </c>
      <c r="P1013" s="7" t="s">
        <v>1241</v>
      </c>
      <c r="AV1013" s="1" t="s">
        <v>38</v>
      </c>
      <c r="BG1013" s="7" t="s">
        <v>1242</v>
      </c>
      <c r="BH1013" s="1" t="s">
        <v>1976</v>
      </c>
      <c r="BI1013" s="1" t="s">
        <v>5373</v>
      </c>
      <c r="BJ1013" s="1" t="s">
        <v>4000</v>
      </c>
      <c r="BK1013" s="1" t="s">
        <v>5374</v>
      </c>
      <c r="BL1013" s="1" t="s">
        <v>1872</v>
      </c>
      <c r="BM1013" s="1" t="s">
        <v>5375</v>
      </c>
    </row>
    <row r="1014" spans="1:69" ht="162" x14ac:dyDescent="0.45">
      <c r="A1014" s="5">
        <v>1013</v>
      </c>
      <c r="B1014" s="6" t="s">
        <v>752</v>
      </c>
      <c r="C1014" s="6" t="s">
        <v>1816</v>
      </c>
      <c r="D1014" s="7" t="s">
        <v>9794</v>
      </c>
      <c r="E1014" s="1" t="s">
        <v>5376</v>
      </c>
      <c r="F1014" s="1" t="s">
        <v>5377</v>
      </c>
      <c r="G1014" s="1"/>
      <c r="J1014" s="1" t="s">
        <v>9795</v>
      </c>
      <c r="L1014" s="2" t="s">
        <v>9416</v>
      </c>
      <c r="P1014" s="7" t="s">
        <v>1241</v>
      </c>
      <c r="AU1014" s="15"/>
      <c r="AV1014" s="1" t="s">
        <v>38</v>
      </c>
      <c r="BG1014" s="7" t="s">
        <v>1242</v>
      </c>
      <c r="BH1014" s="1" t="s">
        <v>1872</v>
      </c>
      <c r="BI1014" s="2" t="s">
        <v>5378</v>
      </c>
    </row>
    <row r="1015" spans="1:69" ht="180" x14ac:dyDescent="0.45">
      <c r="A1015" s="5">
        <v>1014</v>
      </c>
      <c r="B1015" s="6" t="s">
        <v>753</v>
      </c>
      <c r="C1015" s="6" t="s">
        <v>1816</v>
      </c>
      <c r="D1015" s="7" t="s">
        <v>9794</v>
      </c>
      <c r="E1015" s="1" t="s">
        <v>27</v>
      </c>
      <c r="F1015" s="1" t="s">
        <v>5379</v>
      </c>
      <c r="G1015" s="1"/>
      <c r="J1015" s="1" t="s">
        <v>9795</v>
      </c>
      <c r="L1015" s="2" t="s">
        <v>9417</v>
      </c>
      <c r="P1015" s="7" t="s">
        <v>1241</v>
      </c>
      <c r="AU1015" s="15"/>
      <c r="AV1015" s="1" t="s">
        <v>38</v>
      </c>
      <c r="BG1015" s="7" t="s">
        <v>1242</v>
      </c>
      <c r="BH1015" s="1" t="s">
        <v>1967</v>
      </c>
      <c r="BI1015" s="2" t="s">
        <v>5380</v>
      </c>
      <c r="BJ1015" s="1" t="s">
        <v>1959</v>
      </c>
      <c r="BK1015" s="2" t="s">
        <v>5381</v>
      </c>
      <c r="BL1015" s="1" t="s">
        <v>1875</v>
      </c>
      <c r="BM1015" s="2" t="s">
        <v>5382</v>
      </c>
    </row>
    <row r="1016" spans="1:69" ht="180" x14ac:dyDescent="0.45">
      <c r="A1016" s="5">
        <v>1015</v>
      </c>
      <c r="B1016" s="6" t="s">
        <v>754</v>
      </c>
      <c r="C1016" s="6" t="s">
        <v>1816</v>
      </c>
      <c r="D1016" s="7" t="s">
        <v>9794</v>
      </c>
      <c r="E1016" s="1" t="s">
        <v>1631</v>
      </c>
      <c r="F1016" s="1" t="s">
        <v>5383</v>
      </c>
      <c r="G1016" s="1"/>
      <c r="J1016" s="1" t="s">
        <v>9795</v>
      </c>
      <c r="K1016" s="1" t="s">
        <v>9418</v>
      </c>
      <c r="L1016" s="2" t="s">
        <v>9419</v>
      </c>
      <c r="M1016" s="1" t="s">
        <v>12264</v>
      </c>
      <c r="P1016" s="7" t="s">
        <v>1241</v>
      </c>
      <c r="Q1016" s="13"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R1016" s="13"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S1016" s="13"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T1016" s="13"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AU1016" s="15"/>
      <c r="AV1016" s="1" t="s">
        <v>38</v>
      </c>
      <c r="BG1016" s="7" t="s">
        <v>1242</v>
      </c>
      <c r="BH1016" s="1" t="s">
        <v>1947</v>
      </c>
      <c r="BI1016" s="2" t="s">
        <v>5384</v>
      </c>
      <c r="BJ1016" s="1" t="s">
        <v>1959</v>
      </c>
      <c r="BK1016" s="2" t="s">
        <v>5385</v>
      </c>
      <c r="BL1016" s="1" t="s">
        <v>1875</v>
      </c>
      <c r="BM1016" s="2" t="s">
        <v>5386</v>
      </c>
      <c r="BN1016" s="1" t="s">
        <v>1877</v>
      </c>
      <c r="BO1016" s="2" t="s">
        <v>5387</v>
      </c>
    </row>
    <row r="1017" spans="1:69" ht="108" x14ac:dyDescent="0.45">
      <c r="A1017" s="5">
        <v>1016</v>
      </c>
      <c r="B1017" s="6" t="s">
        <v>755</v>
      </c>
      <c r="C1017" s="6" t="s">
        <v>1816</v>
      </c>
      <c r="D1017" s="7" t="s">
        <v>9794</v>
      </c>
      <c r="E1017" s="1" t="s">
        <v>755</v>
      </c>
      <c r="F1017" s="1"/>
      <c r="G1017" s="1"/>
      <c r="J1017" s="1" t="s">
        <v>9795</v>
      </c>
      <c r="L1017" s="2" t="s">
        <v>9423</v>
      </c>
      <c r="P1017" s="7" t="s">
        <v>1241</v>
      </c>
      <c r="AU1017" s="15"/>
      <c r="AV1017" s="1" t="s">
        <v>38</v>
      </c>
      <c r="BG1017" s="7" t="s">
        <v>1242</v>
      </c>
      <c r="BH1017" s="1" t="s">
        <v>1947</v>
      </c>
      <c r="BI1017" s="2" t="s">
        <v>5388</v>
      </c>
      <c r="BJ1017" s="1" t="s">
        <v>1959</v>
      </c>
      <c r="BK1017" s="2" t="s">
        <v>5389</v>
      </c>
      <c r="BL1017" s="1" t="s">
        <v>1875</v>
      </c>
      <c r="BM1017" s="2" t="s">
        <v>5390</v>
      </c>
      <c r="BN1017" s="1" t="s">
        <v>1877</v>
      </c>
      <c r="BO1017" s="2" t="s">
        <v>5391</v>
      </c>
    </row>
    <row r="1018" spans="1:69" ht="126" x14ac:dyDescent="0.45">
      <c r="A1018" s="5">
        <v>1017</v>
      </c>
      <c r="B1018" s="6" t="s">
        <v>756</v>
      </c>
      <c r="C1018" s="6" t="s">
        <v>1816</v>
      </c>
      <c r="D1018" s="7" t="s">
        <v>9794</v>
      </c>
      <c r="E1018" s="6" t="s">
        <v>756</v>
      </c>
      <c r="F1018" s="1"/>
      <c r="G1018" s="1"/>
      <c r="J1018" s="1" t="s">
        <v>9795</v>
      </c>
      <c r="K1018" s="1" t="s">
        <v>9424</v>
      </c>
      <c r="L1018" s="2" t="s">
        <v>12158</v>
      </c>
      <c r="P1018" s="7" t="s">
        <v>1241</v>
      </c>
      <c r="AU1018" s="15"/>
      <c r="AV1018" s="1" t="s">
        <v>38</v>
      </c>
      <c r="BG1018" s="7" t="s">
        <v>1242</v>
      </c>
      <c r="BH1018" s="1" t="s">
        <v>1947</v>
      </c>
      <c r="BI1018" s="2" t="s">
        <v>5392</v>
      </c>
      <c r="BJ1018" s="1" t="s">
        <v>1967</v>
      </c>
      <c r="BK1018" s="1" t="s">
        <v>5393</v>
      </c>
      <c r="BL1018" s="1" t="s">
        <v>1959</v>
      </c>
      <c r="BM1018" s="1" t="s">
        <v>5394</v>
      </c>
      <c r="BN1018" s="1" t="s">
        <v>1875</v>
      </c>
      <c r="BO1018" s="2" t="s">
        <v>5395</v>
      </c>
      <c r="BP1018" s="1" t="s">
        <v>1877</v>
      </c>
      <c r="BQ1018" s="2" t="s">
        <v>5396</v>
      </c>
    </row>
    <row r="1019" spans="1:69" ht="162" x14ac:dyDescent="0.45">
      <c r="A1019" s="5">
        <v>1018</v>
      </c>
      <c r="B1019" s="6" t="s">
        <v>757</v>
      </c>
      <c r="C1019" s="6" t="s">
        <v>1816</v>
      </c>
      <c r="D1019" s="7" t="s">
        <v>9794</v>
      </c>
      <c r="E1019" s="1" t="s">
        <v>1505</v>
      </c>
      <c r="F1019" s="1" t="s">
        <v>5397</v>
      </c>
      <c r="G1019" s="1"/>
      <c r="J1019" s="1" t="s">
        <v>9795</v>
      </c>
      <c r="K1019" s="1" t="s">
        <v>9425</v>
      </c>
      <c r="L1019" s="3" t="s">
        <v>9426</v>
      </c>
      <c r="M1019" s="1" t="s">
        <v>12218</v>
      </c>
      <c r="P1019" s="7" t="s">
        <v>1241</v>
      </c>
      <c r="Q1019" s="13"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1019" s="13" t="str">
        <f>INDEX($L:$L, MATCH("discount", $B:$B, 0))</f>
        <v>&lt;span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v>
      </c>
      <c r="S1019" s="13"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T1019" s="13"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AU1019" s="15"/>
      <c r="AV1019" s="1" t="s">
        <v>38</v>
      </c>
      <c r="BG1019" s="7" t="s">
        <v>1242</v>
      </c>
      <c r="BH1019" s="1" t="s">
        <v>1947</v>
      </c>
      <c r="BI1019" s="2" t="s">
        <v>5398</v>
      </c>
      <c r="BJ1019" s="1" t="s">
        <v>1959</v>
      </c>
      <c r="BK1019" s="2" t="s">
        <v>5399</v>
      </c>
      <c r="BL1019" s="1" t="s">
        <v>1875</v>
      </c>
      <c r="BM1019" s="2" t="s">
        <v>5400</v>
      </c>
      <c r="BN1019" s="1" t="s">
        <v>1877</v>
      </c>
      <c r="BO1019" s="2" t="s">
        <v>5401</v>
      </c>
    </row>
    <row r="1020" spans="1:69" ht="126" x14ac:dyDescent="0.45">
      <c r="A1020" s="5">
        <v>1019</v>
      </c>
      <c r="B1020" s="6" t="s">
        <v>758</v>
      </c>
      <c r="C1020" s="6" t="s">
        <v>1816</v>
      </c>
      <c r="D1020" s="7" t="s">
        <v>9794</v>
      </c>
      <c r="E1020" s="1" t="s">
        <v>5402</v>
      </c>
      <c r="F1020" s="1" t="s">
        <v>4625</v>
      </c>
      <c r="G1020" s="1"/>
      <c r="J1020" s="1" t="s">
        <v>9795</v>
      </c>
      <c r="K1020" s="2" t="s">
        <v>9427</v>
      </c>
      <c r="L1020" s="2" t="s">
        <v>11772</v>
      </c>
      <c r="P1020" s="7" t="s">
        <v>1241</v>
      </c>
      <c r="AU1020" s="15"/>
      <c r="AV1020" s="1" t="s">
        <v>38</v>
      </c>
      <c r="BG1020" s="7" t="s">
        <v>1242</v>
      </c>
      <c r="BH1020" s="1" t="s">
        <v>1877</v>
      </c>
      <c r="BI1020" s="2" t="s">
        <v>5403</v>
      </c>
      <c r="BJ1020" s="1" t="s">
        <v>3497</v>
      </c>
      <c r="BK1020" s="2" t="s">
        <v>5404</v>
      </c>
    </row>
    <row r="1021" spans="1:69" ht="126" x14ac:dyDescent="0.45">
      <c r="A1021" s="5">
        <v>1020</v>
      </c>
      <c r="B1021" s="8" t="s">
        <v>759</v>
      </c>
      <c r="C1021" s="6" t="s">
        <v>1816</v>
      </c>
      <c r="D1021" s="7" t="s">
        <v>9794</v>
      </c>
      <c r="E1021" s="1" t="s">
        <v>1505</v>
      </c>
      <c r="F1021" s="1" t="s">
        <v>1408</v>
      </c>
      <c r="G1021" s="1"/>
      <c r="J1021" s="1" t="s">
        <v>9795</v>
      </c>
      <c r="K1021" s="2" t="s">
        <v>9428</v>
      </c>
      <c r="L1021" s="3" t="s">
        <v>9429</v>
      </c>
      <c r="M1021" s="1" t="s">
        <v>12232</v>
      </c>
      <c r="P1021" s="7" t="s">
        <v>1241</v>
      </c>
      <c r="Q1021" s="13"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R1021" s="13"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S1021" s="13"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T1021" s="13"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AU1021" s="15"/>
      <c r="AV1021" s="1" t="s">
        <v>38</v>
      </c>
      <c r="BG1021" s="7" t="s">
        <v>1242</v>
      </c>
      <c r="BH1021" s="1" t="s">
        <v>1947</v>
      </c>
      <c r="BI1021" s="2" t="s">
        <v>5405</v>
      </c>
      <c r="BJ1021" s="1" t="s">
        <v>1875</v>
      </c>
      <c r="BK1021" s="2" t="s">
        <v>5406</v>
      </c>
      <c r="BL1021" s="1" t="s">
        <v>1877</v>
      </c>
      <c r="BM1021" s="2" t="s">
        <v>5407</v>
      </c>
    </row>
    <row r="1022" spans="1:69" ht="180" x14ac:dyDescent="0.45">
      <c r="A1022" s="5">
        <v>1021</v>
      </c>
      <c r="B1022" s="8" t="s">
        <v>760</v>
      </c>
      <c r="C1022" s="6" t="s">
        <v>1816</v>
      </c>
      <c r="D1022" s="7" t="s">
        <v>9794</v>
      </c>
      <c r="E1022" s="1" t="s">
        <v>760</v>
      </c>
      <c r="F1022" s="1"/>
      <c r="G1022" s="1"/>
      <c r="J1022" s="1" t="s">
        <v>9795</v>
      </c>
      <c r="K1022" s="2" t="s">
        <v>9430</v>
      </c>
      <c r="L1022" s="2" t="s">
        <v>9431</v>
      </c>
      <c r="P1022" s="7" t="s">
        <v>1241</v>
      </c>
      <c r="Q1022" s="13"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1022" s="13"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S1022" s="13"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AV1022" s="1" t="s">
        <v>38</v>
      </c>
      <c r="BG1022" s="7" t="s">
        <v>1242</v>
      </c>
      <c r="BH1022" s="1" t="s">
        <v>1947</v>
      </c>
      <c r="BI1022" s="1" t="s">
        <v>5408</v>
      </c>
      <c r="BJ1022" s="1" t="s">
        <v>2036</v>
      </c>
      <c r="BK1022" s="1" t="s">
        <v>5409</v>
      </c>
      <c r="BL1022" s="1" t="s">
        <v>1959</v>
      </c>
      <c r="BM1022" s="2" t="s">
        <v>9432</v>
      </c>
      <c r="BN1022" s="1" t="s">
        <v>1875</v>
      </c>
      <c r="BO1022" s="2" t="s">
        <v>5410</v>
      </c>
      <c r="BP1022" s="1" t="s">
        <v>1877</v>
      </c>
      <c r="BQ1022" s="2" t="s">
        <v>5411</v>
      </c>
    </row>
    <row r="1023" spans="1:69" ht="126" x14ac:dyDescent="0.45">
      <c r="A1023" s="5">
        <v>1022</v>
      </c>
      <c r="B1023" s="6" t="s">
        <v>761</v>
      </c>
      <c r="C1023" s="6" t="s">
        <v>1816</v>
      </c>
      <c r="D1023" s="7" t="s">
        <v>9794</v>
      </c>
      <c r="E1023" s="6" t="s">
        <v>761</v>
      </c>
      <c r="F1023" s="1"/>
      <c r="G1023" s="1"/>
      <c r="J1023" s="1" t="s">
        <v>9795</v>
      </c>
      <c r="K1023" s="1" t="s">
        <v>9433</v>
      </c>
      <c r="L1023" s="2" t="s">
        <v>9434</v>
      </c>
      <c r="P1023" s="7" t="s">
        <v>1241</v>
      </c>
      <c r="Q1023" s="13" t="str">
        <f>INDEX($L:$L, MATCH("feed", $B:$B, 0))</f>
        <v>&lt;span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v>
      </c>
      <c r="AU1023" s="15"/>
      <c r="AV1023" s="1" t="s">
        <v>38</v>
      </c>
      <c r="BG1023" s="7" t="s">
        <v>1242</v>
      </c>
      <c r="BH1023" s="1" t="s">
        <v>1976</v>
      </c>
      <c r="BI1023" s="2" t="s">
        <v>9435</v>
      </c>
      <c r="BJ1023" s="1" t="s">
        <v>1872</v>
      </c>
      <c r="BK1023" s="2" t="s">
        <v>5412</v>
      </c>
      <c r="BL1023" s="1" t="s">
        <v>1875</v>
      </c>
      <c r="BM1023" s="2" t="s">
        <v>5413</v>
      </c>
      <c r="BN1023" s="1" t="s">
        <v>1877</v>
      </c>
      <c r="BO1023" s="2" t="s">
        <v>5414</v>
      </c>
    </row>
    <row r="1024" spans="1:69" ht="144" x14ac:dyDescent="0.45">
      <c r="A1024" s="5">
        <v>1023</v>
      </c>
      <c r="B1024" s="8" t="s">
        <v>762</v>
      </c>
      <c r="C1024" s="6" t="s">
        <v>1816</v>
      </c>
      <c r="D1024" s="7" t="s">
        <v>9794</v>
      </c>
      <c r="E1024" s="1" t="s">
        <v>1397</v>
      </c>
      <c r="F1024" s="1" t="s">
        <v>5415</v>
      </c>
      <c r="G1024" s="1"/>
      <c r="J1024" s="1" t="s">
        <v>9795</v>
      </c>
      <c r="L1024" s="3" t="s">
        <v>9436</v>
      </c>
      <c r="P1024" s="7" t="s">
        <v>1241</v>
      </c>
      <c r="Q1024" s="13" t="str">
        <f>INDEX($L:$L, MATCH("audience", $B:$B, 0))</f>
        <v>&lt;span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v>
      </c>
      <c r="AU1024" s="15"/>
      <c r="AV1024" s="1" t="s">
        <v>38</v>
      </c>
      <c r="BG1024" s="7" t="s">
        <v>1242</v>
      </c>
      <c r="BH1024" s="1" t="s">
        <v>1947</v>
      </c>
      <c r="BI1024" s="2" t="s">
        <v>9437</v>
      </c>
      <c r="BJ1024" s="1" t="s">
        <v>1959</v>
      </c>
      <c r="BK1024" s="2" t="s">
        <v>5416</v>
      </c>
      <c r="BL1024" s="1" t="s">
        <v>1875</v>
      </c>
      <c r="BM1024" s="2" t="s">
        <v>5417</v>
      </c>
    </row>
    <row r="1025" spans="1:69" ht="162" x14ac:dyDescent="0.45">
      <c r="A1025" s="5">
        <v>1024</v>
      </c>
      <c r="B1025" s="6" t="s">
        <v>763</v>
      </c>
      <c r="C1025" s="6" t="s">
        <v>1816</v>
      </c>
      <c r="D1025" s="7" t="s">
        <v>9794</v>
      </c>
      <c r="E1025" s="6" t="s">
        <v>763</v>
      </c>
      <c r="F1025" s="1"/>
      <c r="G1025" s="1"/>
      <c r="J1025" s="1" t="s">
        <v>9795</v>
      </c>
      <c r="K1025" s="1" t="s">
        <v>9438</v>
      </c>
      <c r="L1025" s="2" t="s">
        <v>9439</v>
      </c>
      <c r="P1025" s="7" t="s">
        <v>1241</v>
      </c>
      <c r="AU1025" s="15"/>
      <c r="AV1025" s="1" t="s">
        <v>38</v>
      </c>
      <c r="BG1025" s="7" t="s">
        <v>1242</v>
      </c>
      <c r="BH1025" s="1" t="s">
        <v>1872</v>
      </c>
      <c r="BI1025" s="2" t="s">
        <v>9440</v>
      </c>
      <c r="BJ1025" s="1" t="s">
        <v>1875</v>
      </c>
      <c r="BK1025" s="2" t="s">
        <v>5418</v>
      </c>
    </row>
    <row r="1026" spans="1:69" ht="180" x14ac:dyDescent="0.45">
      <c r="A1026" s="5">
        <v>1025</v>
      </c>
      <c r="B1026" s="6" t="s">
        <v>764</v>
      </c>
      <c r="C1026" s="6" t="s">
        <v>1816</v>
      </c>
      <c r="D1026" s="7" t="s">
        <v>9794</v>
      </c>
      <c r="E1026" s="1" t="s">
        <v>1327</v>
      </c>
      <c r="F1026" s="1" t="s">
        <v>5419</v>
      </c>
      <c r="G1026" s="1"/>
      <c r="J1026" s="1" t="s">
        <v>9795</v>
      </c>
      <c r="K1026" s="1" t="s">
        <v>9441</v>
      </c>
      <c r="L1026" s="3" t="s">
        <v>9442</v>
      </c>
      <c r="P1026" s="7" t="s">
        <v>1241</v>
      </c>
      <c r="AU1026" s="15"/>
      <c r="AV1026" s="1" t="s">
        <v>38</v>
      </c>
      <c r="BG1026" s="7" t="s">
        <v>1242</v>
      </c>
      <c r="BH1026" s="1" t="s">
        <v>1947</v>
      </c>
      <c r="BI1026" s="2" t="s">
        <v>5420</v>
      </c>
      <c r="BJ1026" s="1" t="s">
        <v>1967</v>
      </c>
      <c r="BK1026" s="2" t="s">
        <v>5421</v>
      </c>
      <c r="BL1026" s="1" t="s">
        <v>1959</v>
      </c>
      <c r="BM1026" s="1" t="s">
        <v>5422</v>
      </c>
      <c r="BN1026" s="1" t="s">
        <v>1875</v>
      </c>
      <c r="BO1026" s="2" t="s">
        <v>5423</v>
      </c>
    </row>
    <row r="1027" spans="1:69" ht="126" x14ac:dyDescent="0.45">
      <c r="A1027" s="5">
        <v>1026</v>
      </c>
      <c r="B1027" s="6" t="s">
        <v>765</v>
      </c>
      <c r="C1027" s="6" t="s">
        <v>1816</v>
      </c>
      <c r="D1027" s="7" t="s">
        <v>9794</v>
      </c>
      <c r="E1027" s="6" t="s">
        <v>765</v>
      </c>
      <c r="F1027" s="1"/>
      <c r="G1027" s="1"/>
      <c r="J1027" s="1" t="s">
        <v>9795</v>
      </c>
      <c r="K1027" s="2" t="s">
        <v>9443</v>
      </c>
      <c r="L1027" s="3" t="s">
        <v>9444</v>
      </c>
      <c r="P1027" s="7" t="s">
        <v>1241</v>
      </c>
      <c r="AV1027" s="1" t="s">
        <v>38</v>
      </c>
      <c r="BG1027" s="7" t="s">
        <v>1242</v>
      </c>
      <c r="BH1027" s="1" t="s">
        <v>2458</v>
      </c>
      <c r="BI1027" s="1" t="s">
        <v>5425</v>
      </c>
      <c r="BJ1027" s="1" t="s">
        <v>1947</v>
      </c>
      <c r="BK1027" s="2" t="s">
        <v>5426</v>
      </c>
      <c r="BL1027" s="1" t="s">
        <v>1959</v>
      </c>
      <c r="BM1027" s="1" t="s">
        <v>5427</v>
      </c>
      <c r="BN1027" s="1" t="s">
        <v>1875</v>
      </c>
      <c r="BO1027" s="2" t="s">
        <v>5428</v>
      </c>
    </row>
    <row r="1028" spans="1:69" ht="234" x14ac:dyDescent="0.45">
      <c r="A1028" s="5">
        <v>1027</v>
      </c>
      <c r="B1028" s="6" t="s">
        <v>766</v>
      </c>
      <c r="C1028" s="6" t="s">
        <v>1816</v>
      </c>
      <c r="D1028" s="7" t="s">
        <v>9794</v>
      </c>
      <c r="E1028" s="1" t="s">
        <v>766</v>
      </c>
      <c r="F1028" s="1"/>
      <c r="G1028" s="1"/>
      <c r="J1028" s="1" t="s">
        <v>9795</v>
      </c>
      <c r="K1028" s="2"/>
      <c r="L1028" s="2" t="s">
        <v>9445</v>
      </c>
      <c r="P1028" s="7" t="s">
        <v>1241</v>
      </c>
      <c r="AU1028" s="15"/>
      <c r="AV1028" s="1" t="s">
        <v>38</v>
      </c>
      <c r="BG1028" s="7" t="s">
        <v>1242</v>
      </c>
      <c r="BH1028" s="1" t="s">
        <v>1875</v>
      </c>
      <c r="BI1028" s="2" t="s">
        <v>9446</v>
      </c>
      <c r="BJ1028" s="1" t="s">
        <v>1877</v>
      </c>
      <c r="BK1028" s="2" t="s">
        <v>5429</v>
      </c>
      <c r="BL1028" s="1" t="s">
        <v>3497</v>
      </c>
      <c r="BM1028" s="2" t="s">
        <v>5430</v>
      </c>
    </row>
    <row r="1029" spans="1:69" ht="162" x14ac:dyDescent="0.45">
      <c r="A1029" s="5">
        <v>1028</v>
      </c>
      <c r="B1029" s="6" t="s">
        <v>767</v>
      </c>
      <c r="C1029" s="6" t="s">
        <v>1816</v>
      </c>
      <c r="D1029" s="7" t="s">
        <v>9794</v>
      </c>
      <c r="E1029" s="1" t="s">
        <v>1725</v>
      </c>
      <c r="F1029" s="1" t="s">
        <v>1614</v>
      </c>
      <c r="G1029" s="1"/>
      <c r="J1029" s="1" t="s">
        <v>9795</v>
      </c>
      <c r="L1029" s="3" t="s">
        <v>9447</v>
      </c>
      <c r="M1029" s="1" t="s">
        <v>12257</v>
      </c>
      <c r="P1029" s="7" t="s">
        <v>1241</v>
      </c>
      <c r="Q1029" s="13"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029" s="13"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S1029" s="13"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T1029" s="13"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U1029" s="13"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AV1029" s="1" t="s">
        <v>38</v>
      </c>
      <c r="BG1029" s="7" t="s">
        <v>1242</v>
      </c>
      <c r="BH1029" s="1" t="s">
        <v>1947</v>
      </c>
      <c r="BI1029" s="1" t="s">
        <v>5431</v>
      </c>
      <c r="BJ1029" s="1" t="s">
        <v>1875</v>
      </c>
      <c r="BK1029" s="2" t="s">
        <v>5432</v>
      </c>
    </row>
    <row r="1030" spans="1:69" ht="180" x14ac:dyDescent="0.45">
      <c r="A1030" s="5">
        <v>1029</v>
      </c>
      <c r="B1030" s="6" t="s">
        <v>768</v>
      </c>
      <c r="C1030" s="6" t="s">
        <v>1816</v>
      </c>
      <c r="D1030" s="7" t="s">
        <v>9794</v>
      </c>
      <c r="E1030" s="6" t="s">
        <v>768</v>
      </c>
      <c r="F1030" s="1"/>
      <c r="G1030" s="1"/>
      <c r="J1030" s="1" t="s">
        <v>9795</v>
      </c>
      <c r="L1030" s="2" t="s">
        <v>9448</v>
      </c>
      <c r="P1030" s="7" t="s">
        <v>1241</v>
      </c>
      <c r="AU1030" s="15"/>
      <c r="AV1030" s="1" t="s">
        <v>38</v>
      </c>
      <c r="BG1030" s="7" t="s">
        <v>1242</v>
      </c>
      <c r="BH1030" s="1" t="s">
        <v>1877</v>
      </c>
      <c r="BI1030" s="2" t="s">
        <v>9449</v>
      </c>
    </row>
    <row r="1031" spans="1:69" ht="90" x14ac:dyDescent="0.45">
      <c r="A1031" s="5">
        <v>1030</v>
      </c>
      <c r="B1031" s="6" t="s">
        <v>769</v>
      </c>
      <c r="C1031" s="6" t="s">
        <v>1816</v>
      </c>
      <c r="D1031" s="7" t="s">
        <v>9794</v>
      </c>
      <c r="E1031" s="6" t="s">
        <v>769</v>
      </c>
      <c r="F1031" s="1"/>
      <c r="G1031" s="1"/>
      <c r="J1031" s="1" t="s">
        <v>9795</v>
      </c>
      <c r="K1031" s="1" t="s">
        <v>5433</v>
      </c>
      <c r="L1031" s="2" t="s">
        <v>9450</v>
      </c>
      <c r="P1031" s="7" t="s">
        <v>1241</v>
      </c>
      <c r="AV1031" s="1" t="s">
        <v>38</v>
      </c>
      <c r="BG1031" s="7" t="s">
        <v>1242</v>
      </c>
      <c r="BH1031" s="1" t="s">
        <v>1872</v>
      </c>
      <c r="BI1031" s="1" t="s">
        <v>9451</v>
      </c>
      <c r="BJ1031" s="1" t="s">
        <v>1875</v>
      </c>
      <c r="BK1031" s="2" t="s">
        <v>5434</v>
      </c>
    </row>
    <row r="1032" spans="1:69" ht="180" x14ac:dyDescent="0.45">
      <c r="A1032" s="5">
        <v>1031</v>
      </c>
      <c r="B1032" s="6" t="s">
        <v>770</v>
      </c>
      <c r="C1032" s="6" t="s">
        <v>1816</v>
      </c>
      <c r="D1032" s="7" t="s">
        <v>9794</v>
      </c>
      <c r="E1032" s="1" t="s">
        <v>1392</v>
      </c>
      <c r="F1032" s="1" t="s">
        <v>5435</v>
      </c>
      <c r="G1032" s="1"/>
      <c r="J1032" s="1" t="s">
        <v>9795</v>
      </c>
      <c r="K1032" s="2"/>
      <c r="L1032" s="3" t="s">
        <v>9452</v>
      </c>
      <c r="P1032" s="7" t="s">
        <v>1241</v>
      </c>
      <c r="AV1032" s="1" t="s">
        <v>38</v>
      </c>
      <c r="BG1032" s="7" t="s">
        <v>1242</v>
      </c>
      <c r="BH1032" s="1" t="s">
        <v>1947</v>
      </c>
      <c r="BI1032" s="1" t="s">
        <v>5436</v>
      </c>
      <c r="BJ1032" s="1" t="s">
        <v>2026</v>
      </c>
      <c r="BK1032" s="1" t="s">
        <v>5437</v>
      </c>
      <c r="BL1032" s="1" t="s">
        <v>1959</v>
      </c>
      <c r="BM1032" s="1" t="s">
        <v>5438</v>
      </c>
      <c r="BN1032" s="1" t="s">
        <v>1875</v>
      </c>
      <c r="BO1032" s="2" t="s">
        <v>5439</v>
      </c>
      <c r="BP1032" s="1" t="s">
        <v>1877</v>
      </c>
      <c r="BQ1032" s="2" t="s">
        <v>5440</v>
      </c>
    </row>
    <row r="1033" spans="1:69" ht="108" x14ac:dyDescent="0.45">
      <c r="A1033" s="5">
        <v>1032</v>
      </c>
      <c r="B1033" s="6" t="s">
        <v>771</v>
      </c>
      <c r="C1033" s="6" t="s">
        <v>1816</v>
      </c>
      <c r="D1033" s="7" t="s">
        <v>9794</v>
      </c>
      <c r="E1033" s="1" t="s">
        <v>771</v>
      </c>
      <c r="F1033" s="1"/>
      <c r="G1033" s="1"/>
      <c r="J1033" s="1" t="s">
        <v>9795</v>
      </c>
      <c r="K1033" s="1" t="s">
        <v>9453</v>
      </c>
      <c r="L1033" s="2" t="s">
        <v>9454</v>
      </c>
      <c r="P1033" s="7" t="s">
        <v>1241</v>
      </c>
      <c r="Q1033" s="13" t="str">
        <f>INDEX($L:$L, MATCH("thorough", $B:$B, 0))</f>
        <v>&lt;span class="w"&gt;&lt;b&gt;【1480.thorough：徹底的な, 完全な】&lt;/b&gt;&lt;/span&gt;
&lt;span class="ml"&gt;古英語のþurh（通り抜けて：throughの語源）にさかのぼる。形容詞thorough（徹底的な, 完全な）と前置詞through（通して）は兄弟関係の語。
&lt;span class="spacer"&gt;&lt;/span&gt;前置詞というのは、会話の中では名詞・形容詞・動詞などと比べて伝える内容の重要度が低いので、通常、短く弱く発音される（アクセントを持たない）。そのため、古英語þurh（通り抜けて）は、thの直後に母音とアクセントを持たない、1音節（ひとつの塊）の前置詞through（通って）になっていった。
&lt;span class="spacer"&gt;&lt;/span&gt;一方で中英語期には、thの後に母音とアクセントを保った2音節＝2つの塊からなる語が確立された。これが現代英語のthorough（tho・rough）である。
&lt;span class="spacer"&gt;&lt;/span&gt;物理的に通り抜けてることから比喩的に、端から端まで完璧に通るように「徹底的な, 完全な」という意味になった。&lt;/span&gt;</v>
      </c>
      <c r="AU1033" s="15"/>
      <c r="AV1033" s="1" t="s">
        <v>38</v>
      </c>
      <c r="BG1033" s="7" t="s">
        <v>1242</v>
      </c>
      <c r="BH1033" s="1" t="s">
        <v>1872</v>
      </c>
      <c r="BI1033" s="2" t="s">
        <v>5441</v>
      </c>
      <c r="BJ1033" s="1" t="s">
        <v>1875</v>
      </c>
      <c r="BK1033" s="2" t="s">
        <v>5442</v>
      </c>
      <c r="BL1033" s="1" t="s">
        <v>1877</v>
      </c>
      <c r="BM1033" s="2" t="s">
        <v>5443</v>
      </c>
    </row>
    <row r="1034" spans="1:69" ht="54" x14ac:dyDescent="0.45">
      <c r="A1034" s="5">
        <v>1033</v>
      </c>
      <c r="B1034" s="6" t="s">
        <v>772</v>
      </c>
      <c r="C1034" s="6" t="s">
        <v>1816</v>
      </c>
      <c r="D1034" s="7" t="s">
        <v>9794</v>
      </c>
      <c r="E1034" s="1" t="s">
        <v>772</v>
      </c>
      <c r="F1034" s="1"/>
      <c r="G1034" s="1"/>
      <c r="J1034" s="1" t="s">
        <v>9795</v>
      </c>
      <c r="L1034" s="2" t="s">
        <v>9455</v>
      </c>
      <c r="P1034" s="7" t="s">
        <v>1241</v>
      </c>
      <c r="AU1034" s="15"/>
      <c r="AV1034" s="1" t="s">
        <v>38</v>
      </c>
      <c r="BG1034" s="7" t="s">
        <v>1242</v>
      </c>
      <c r="BH1034" s="1" t="s">
        <v>1875</v>
      </c>
      <c r="BI1034" s="2" t="s">
        <v>5444</v>
      </c>
      <c r="BJ1034" s="1" t="s">
        <v>1877</v>
      </c>
      <c r="BK1034" s="2" t="s">
        <v>5445</v>
      </c>
    </row>
    <row r="1035" spans="1:69" ht="126" x14ac:dyDescent="0.45">
      <c r="A1035" s="5">
        <v>1034</v>
      </c>
      <c r="B1035" s="6" t="s">
        <v>773</v>
      </c>
      <c r="C1035" s="6" t="s">
        <v>1816</v>
      </c>
      <c r="D1035" s="7" t="s">
        <v>9794</v>
      </c>
      <c r="E1035" s="1" t="s">
        <v>773</v>
      </c>
      <c r="F1035" s="1"/>
      <c r="G1035" s="1"/>
      <c r="J1035" s="1" t="s">
        <v>9795</v>
      </c>
      <c r="L1035" s="2" t="s">
        <v>9456</v>
      </c>
      <c r="P1035" s="7" t="s">
        <v>1241</v>
      </c>
      <c r="AV1035" s="1" t="s">
        <v>38</v>
      </c>
      <c r="BG1035" s="7" t="s">
        <v>1242</v>
      </c>
      <c r="BH1035" s="1" t="s">
        <v>1872</v>
      </c>
      <c r="BI1035" s="1" t="s">
        <v>5446</v>
      </c>
      <c r="BJ1035" s="1" t="s">
        <v>1875</v>
      </c>
      <c r="BK1035" s="1" t="s">
        <v>5447</v>
      </c>
    </row>
    <row r="1036" spans="1:69" ht="72" x14ac:dyDescent="0.45">
      <c r="A1036" s="5">
        <v>1035</v>
      </c>
      <c r="B1036" s="6" t="s">
        <v>774</v>
      </c>
      <c r="C1036" s="6" t="s">
        <v>1816</v>
      </c>
      <c r="D1036" s="7" t="s">
        <v>9794</v>
      </c>
      <c r="E1036" s="1" t="s">
        <v>774</v>
      </c>
      <c r="F1036" s="1"/>
      <c r="G1036" s="1"/>
      <c r="J1036" s="1" t="s">
        <v>9795</v>
      </c>
      <c r="K1036" s="1" t="s">
        <v>9457</v>
      </c>
      <c r="L1036" s="2" t="s">
        <v>9458</v>
      </c>
      <c r="P1036" s="7" t="s">
        <v>1241</v>
      </c>
      <c r="AV1036" s="1" t="s">
        <v>38</v>
      </c>
      <c r="BG1036" s="7" t="s">
        <v>1242</v>
      </c>
      <c r="BH1036" s="1" t="s">
        <v>1872</v>
      </c>
      <c r="BI1036" s="1" t="s">
        <v>5448</v>
      </c>
      <c r="BJ1036" s="1" t="s">
        <v>1875</v>
      </c>
      <c r="BK1036" s="2" t="s">
        <v>5449</v>
      </c>
    </row>
    <row r="1037" spans="1:69" ht="108" x14ac:dyDescent="0.45">
      <c r="A1037" s="5">
        <v>1036</v>
      </c>
      <c r="B1037" s="8" t="s">
        <v>775</v>
      </c>
      <c r="C1037" s="6" t="s">
        <v>1816</v>
      </c>
      <c r="D1037" s="7" t="s">
        <v>9794</v>
      </c>
      <c r="E1037" s="1" t="s">
        <v>1467</v>
      </c>
      <c r="F1037" s="1" t="s">
        <v>5450</v>
      </c>
      <c r="G1037" s="1"/>
      <c r="J1037" s="1" t="s">
        <v>9795</v>
      </c>
      <c r="L1037" s="2" t="s">
        <v>9459</v>
      </c>
      <c r="M1037" s="1" t="s">
        <v>12209</v>
      </c>
      <c r="P1037" s="7" t="s">
        <v>1241</v>
      </c>
      <c r="Q1037" s="13"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1037" s="13"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1037" s="13"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1037" s="13"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U1037" s="13"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V1037" s="13"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1037" s="13"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AU1037" s="15"/>
      <c r="AV1037" s="1" t="s">
        <v>38</v>
      </c>
      <c r="BG1037" s="7" t="s">
        <v>1242</v>
      </c>
      <c r="BH1037" s="1" t="s">
        <v>1947</v>
      </c>
      <c r="BI1037" s="2" t="s">
        <v>5451</v>
      </c>
      <c r="BJ1037" s="1" t="s">
        <v>1877</v>
      </c>
      <c r="BK1037" s="2" t="s">
        <v>5452</v>
      </c>
    </row>
    <row r="1038" spans="1:69" ht="162" x14ac:dyDescent="0.45">
      <c r="A1038" s="5">
        <v>1037</v>
      </c>
      <c r="B1038" s="6" t="s">
        <v>776</v>
      </c>
      <c r="C1038" s="6" t="s">
        <v>1816</v>
      </c>
      <c r="D1038" s="7" t="s">
        <v>9794</v>
      </c>
      <c r="E1038" s="1" t="s">
        <v>776</v>
      </c>
      <c r="F1038" s="1"/>
      <c r="G1038" s="1"/>
      <c r="J1038" s="1" t="s">
        <v>9795</v>
      </c>
      <c r="K1038" s="1" t="s">
        <v>9460</v>
      </c>
      <c r="L1038" s="2" t="s">
        <v>9461</v>
      </c>
      <c r="P1038" s="7" t="s">
        <v>1241</v>
      </c>
      <c r="AV1038" s="1" t="s">
        <v>38</v>
      </c>
      <c r="BG1038" s="7" t="s">
        <v>1242</v>
      </c>
      <c r="BH1038" s="1" t="s">
        <v>1872</v>
      </c>
      <c r="BI1038" s="1" t="s">
        <v>5453</v>
      </c>
      <c r="BJ1038" s="1" t="s">
        <v>1875</v>
      </c>
      <c r="BK1038" s="2" t="s">
        <v>5454</v>
      </c>
      <c r="BL1038" s="1" t="s">
        <v>1877</v>
      </c>
      <c r="BM1038" s="2" t="s">
        <v>5455</v>
      </c>
    </row>
    <row r="1039" spans="1:69" ht="144" x14ac:dyDescent="0.45">
      <c r="A1039" s="5">
        <v>1038</v>
      </c>
      <c r="B1039" s="8" t="s">
        <v>777</v>
      </c>
      <c r="C1039" s="6" t="s">
        <v>1816</v>
      </c>
      <c r="D1039" s="7" t="s">
        <v>9794</v>
      </c>
      <c r="E1039" s="1" t="s">
        <v>1325</v>
      </c>
      <c r="F1039" s="1" t="s">
        <v>4276</v>
      </c>
      <c r="G1039" s="1"/>
      <c r="J1039" s="1" t="s">
        <v>9795</v>
      </c>
      <c r="L1039" s="3" t="s">
        <v>10696</v>
      </c>
      <c r="M1039" s="1" t="s">
        <v>12180</v>
      </c>
      <c r="P1039" s="7" t="s">
        <v>1241</v>
      </c>
      <c r="Q1039" s="13"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1039" s="13"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S1039" s="13"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T1039" s="13"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1039" s="13"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U1039" s="15"/>
      <c r="AV1039" s="1" t="s">
        <v>38</v>
      </c>
      <c r="BG1039" s="7" t="s">
        <v>1242</v>
      </c>
      <c r="BH1039" s="1" t="s">
        <v>1947</v>
      </c>
      <c r="BI1039" s="2" t="s">
        <v>5456</v>
      </c>
      <c r="BJ1039" s="1" t="s">
        <v>1996</v>
      </c>
      <c r="BK1039" s="2" t="s">
        <v>5457</v>
      </c>
      <c r="BL1039" s="1" t="s">
        <v>1877</v>
      </c>
      <c r="BM1039" s="2" t="s">
        <v>5458</v>
      </c>
    </row>
    <row r="1040" spans="1:69" ht="144" x14ac:dyDescent="0.45">
      <c r="A1040" s="5">
        <v>1039</v>
      </c>
      <c r="B1040" s="8" t="s">
        <v>778</v>
      </c>
      <c r="C1040" s="6" t="s">
        <v>1816</v>
      </c>
      <c r="D1040" s="7" t="s">
        <v>9794</v>
      </c>
      <c r="E1040" s="1" t="s">
        <v>1327</v>
      </c>
      <c r="F1040" s="1" t="s">
        <v>1386</v>
      </c>
      <c r="G1040" s="1"/>
      <c r="J1040" s="1" t="s">
        <v>9795</v>
      </c>
      <c r="L1040" s="3" t="s">
        <v>10447</v>
      </c>
      <c r="M1040" s="1" t="s">
        <v>12229</v>
      </c>
      <c r="P1040" s="7" t="s">
        <v>1241</v>
      </c>
      <c r="Q1040" s="13"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1040" s="13"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S1040"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1040" s="13"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U1040"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V1040"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AU1040" s="15"/>
      <c r="AV1040" s="1" t="s">
        <v>38</v>
      </c>
      <c r="BG1040" s="7" t="s">
        <v>1242</v>
      </c>
      <c r="BH1040" s="1" t="s">
        <v>1947</v>
      </c>
      <c r="BI1040" s="2" t="s">
        <v>5459</v>
      </c>
      <c r="BJ1040" s="1" t="s">
        <v>1875</v>
      </c>
      <c r="BK1040" s="2" t="s">
        <v>5460</v>
      </c>
      <c r="BL1040" s="1" t="s">
        <v>1877</v>
      </c>
      <c r="BM1040" s="2" t="s">
        <v>5461</v>
      </c>
    </row>
    <row r="1041" spans="1:69" ht="126" x14ac:dyDescent="0.45">
      <c r="A1041" s="5">
        <v>1040</v>
      </c>
      <c r="B1041" s="6" t="s">
        <v>779</v>
      </c>
      <c r="C1041" s="6" t="s">
        <v>1816</v>
      </c>
      <c r="D1041" s="7" t="s">
        <v>9794</v>
      </c>
      <c r="E1041" s="6" t="s">
        <v>779</v>
      </c>
      <c r="F1041" s="1"/>
      <c r="G1041" s="1"/>
      <c r="J1041" s="1" t="s">
        <v>9795</v>
      </c>
      <c r="K1041" s="2" t="s">
        <v>9462</v>
      </c>
      <c r="L1041" s="3" t="s">
        <v>10472</v>
      </c>
      <c r="P1041" s="7" t="s">
        <v>1241</v>
      </c>
      <c r="AU1041" s="15"/>
      <c r="AV1041" s="1" t="s">
        <v>38</v>
      </c>
      <c r="BG1041" s="7" t="s">
        <v>1242</v>
      </c>
      <c r="BH1041" s="1" t="s">
        <v>2110</v>
      </c>
      <c r="BI1041" s="2" t="s">
        <v>5462</v>
      </c>
      <c r="BJ1041" s="1" t="s">
        <v>1959</v>
      </c>
      <c r="BK1041" s="2" t="s">
        <v>5463</v>
      </c>
      <c r="BL1041" s="1" t="s">
        <v>1996</v>
      </c>
      <c r="BM1041" s="1" t="s">
        <v>5464</v>
      </c>
      <c r="BN1041" s="1" t="s">
        <v>1877</v>
      </c>
      <c r="BO1041" s="2" t="s">
        <v>5465</v>
      </c>
    </row>
    <row r="1042" spans="1:69" ht="234" x14ac:dyDescent="0.45">
      <c r="A1042" s="5">
        <v>1041</v>
      </c>
      <c r="B1042" s="8" t="s">
        <v>780</v>
      </c>
      <c r="C1042" s="6" t="s">
        <v>6851</v>
      </c>
      <c r="D1042" s="7" t="s">
        <v>9794</v>
      </c>
      <c r="E1042" s="1" t="s">
        <v>1338</v>
      </c>
      <c r="F1042" s="1" t="s">
        <v>5466</v>
      </c>
      <c r="G1042" s="1"/>
      <c r="J1042" s="1" t="s">
        <v>9795</v>
      </c>
      <c r="L1042" s="3" t="s">
        <v>9491</v>
      </c>
      <c r="M1042" s="1" t="s">
        <v>12268</v>
      </c>
      <c r="P1042" s="7" t="s">
        <v>1241</v>
      </c>
      <c r="Q1042" s="13"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R1042" s="13"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S1042" s="13"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T1042" s="13"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v>
      </c>
      <c r="AU1042" s="15"/>
      <c r="AV1042" s="1" t="s">
        <v>38</v>
      </c>
      <c r="BG1042" s="7" t="s">
        <v>1242</v>
      </c>
      <c r="BH1042" s="1" t="s">
        <v>1947</v>
      </c>
      <c r="BI1042" s="2" t="s">
        <v>5467</v>
      </c>
      <c r="BJ1042" s="1" t="s">
        <v>1967</v>
      </c>
      <c r="BK1042" s="1" t="s">
        <v>5468</v>
      </c>
      <c r="BL1042" s="1" t="s">
        <v>1959</v>
      </c>
      <c r="BM1042" s="2" t="s">
        <v>5469</v>
      </c>
      <c r="BN1042" s="1" t="s">
        <v>1875</v>
      </c>
      <c r="BO1042" s="2" t="s">
        <v>5470</v>
      </c>
      <c r="BP1042" s="1" t="s">
        <v>1877</v>
      </c>
      <c r="BQ1042" s="2" t="s">
        <v>5471</v>
      </c>
    </row>
    <row r="1043" spans="1:69" ht="108" x14ac:dyDescent="0.45">
      <c r="A1043" s="5">
        <v>1042</v>
      </c>
      <c r="B1043" s="6" t="s">
        <v>781</v>
      </c>
      <c r="C1043" s="6" t="s">
        <v>6851</v>
      </c>
      <c r="D1043" s="7" t="s">
        <v>9794</v>
      </c>
      <c r="E1043" s="1" t="s">
        <v>27</v>
      </c>
      <c r="F1043" s="1" t="s">
        <v>5472</v>
      </c>
      <c r="G1043" s="1"/>
      <c r="J1043" s="1" t="s">
        <v>9795</v>
      </c>
      <c r="L1043" s="2" t="s">
        <v>9465</v>
      </c>
      <c r="P1043" s="7" t="s">
        <v>1241</v>
      </c>
      <c r="Q1043" s="13" t="str">
        <f>INDEX($L:$L, MATCH("output", $B:$B, 0))</f>
        <v>&lt;span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v>
      </c>
      <c r="AU1043" s="15"/>
      <c r="AV1043" s="1" t="s">
        <v>38</v>
      </c>
      <c r="BG1043" s="7" t="s">
        <v>1242</v>
      </c>
      <c r="BH1043" s="1" t="s">
        <v>1877</v>
      </c>
      <c r="BI1043" s="2" t="s">
        <v>5473</v>
      </c>
      <c r="BJ1043" s="1" t="s">
        <v>3497</v>
      </c>
      <c r="BK1043" s="2" t="s">
        <v>5474</v>
      </c>
    </row>
    <row r="1044" spans="1:69" ht="162" x14ac:dyDescent="0.45">
      <c r="A1044" s="5">
        <v>1043</v>
      </c>
      <c r="B1044" s="6" t="s">
        <v>782</v>
      </c>
      <c r="C1044" s="6" t="s">
        <v>6851</v>
      </c>
      <c r="D1044" s="7" t="s">
        <v>9794</v>
      </c>
      <c r="E1044" s="6" t="s">
        <v>782</v>
      </c>
      <c r="F1044" s="1"/>
      <c r="G1044" s="1"/>
      <c r="J1044" s="1" t="s">
        <v>9795</v>
      </c>
      <c r="L1044" s="2" t="s">
        <v>9466</v>
      </c>
      <c r="P1044" s="7" t="s">
        <v>1241</v>
      </c>
      <c r="AU1044" s="15"/>
      <c r="AV1044" s="1" t="s">
        <v>38</v>
      </c>
      <c r="BG1044" s="7" t="s">
        <v>1242</v>
      </c>
      <c r="BH1044" s="1" t="s">
        <v>1947</v>
      </c>
      <c r="BI1044" s="2" t="s">
        <v>5475</v>
      </c>
      <c r="BJ1044" s="1" t="s">
        <v>1959</v>
      </c>
      <c r="BK1044" s="1" t="s">
        <v>5476</v>
      </c>
      <c r="BL1044" s="1" t="s">
        <v>1875</v>
      </c>
      <c r="BM1044" s="2" t="s">
        <v>5477</v>
      </c>
    </row>
    <row r="1045" spans="1:69" ht="180" x14ac:dyDescent="0.45">
      <c r="A1045" s="5">
        <v>1044</v>
      </c>
      <c r="B1045" s="6" t="s">
        <v>783</v>
      </c>
      <c r="C1045" s="6" t="s">
        <v>6851</v>
      </c>
      <c r="D1045" s="7" t="s">
        <v>9794</v>
      </c>
      <c r="E1045" s="1" t="s">
        <v>1498</v>
      </c>
      <c r="F1045" s="1" t="s">
        <v>5478</v>
      </c>
      <c r="G1045" s="1"/>
      <c r="J1045" s="1" t="s">
        <v>9795</v>
      </c>
      <c r="K1045" s="2" t="s">
        <v>9467</v>
      </c>
      <c r="L1045" s="2" t="s">
        <v>9468</v>
      </c>
      <c r="P1045" s="7" t="s">
        <v>1241</v>
      </c>
      <c r="Q1045" s="13" t="str">
        <f>INDEX($L:$L, MATCH("empathy", $B:$B, 0))</f>
        <v>&lt;span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v>
      </c>
      <c r="AU1045" s="15"/>
      <c r="AV1045" s="1" t="s">
        <v>38</v>
      </c>
      <c r="BG1045" s="7" t="s">
        <v>1242</v>
      </c>
      <c r="BH1045" s="1" t="s">
        <v>2458</v>
      </c>
      <c r="BI1045" s="2" t="s">
        <v>5479</v>
      </c>
      <c r="BJ1045" s="1" t="s">
        <v>2036</v>
      </c>
      <c r="BK1045" s="1" t="s">
        <v>5480</v>
      </c>
      <c r="BL1045" s="1" t="s">
        <v>1996</v>
      </c>
      <c r="BM1045" s="2" t="s">
        <v>5481</v>
      </c>
      <c r="BN1045" s="1" t="s">
        <v>1877</v>
      </c>
      <c r="BO1045" s="2" t="s">
        <v>5482</v>
      </c>
    </row>
    <row r="1046" spans="1:69" ht="198" x14ac:dyDescent="0.45">
      <c r="A1046" s="5">
        <v>1045</v>
      </c>
      <c r="B1046" s="6" t="s">
        <v>784</v>
      </c>
      <c r="C1046" s="6" t="s">
        <v>6851</v>
      </c>
      <c r="D1046" s="7" t="s">
        <v>9794</v>
      </c>
      <c r="E1046" s="1" t="s">
        <v>1467</v>
      </c>
      <c r="F1046" s="1" t="s">
        <v>9469</v>
      </c>
      <c r="G1046" s="1" t="s">
        <v>1517</v>
      </c>
      <c r="J1046" s="1" t="s">
        <v>9795</v>
      </c>
      <c r="K1046" s="1" t="s">
        <v>9470</v>
      </c>
      <c r="L1046" s="3" t="s">
        <v>9492</v>
      </c>
      <c r="M1046" s="1" t="s">
        <v>12184</v>
      </c>
      <c r="P1046" s="7" t="s">
        <v>1241</v>
      </c>
      <c r="Q1046" s="13"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1046" s="13"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S1046" s="13"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T1046" s="13"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U1046" s="13"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AU1046" s="15"/>
      <c r="AV1046" s="1" t="s">
        <v>38</v>
      </c>
      <c r="BG1046" s="7" t="s">
        <v>1242</v>
      </c>
      <c r="BH1046" s="1" t="s">
        <v>1947</v>
      </c>
      <c r="BI1046" s="2" t="s">
        <v>5483</v>
      </c>
      <c r="BJ1046" s="1" t="s">
        <v>1877</v>
      </c>
      <c r="BK1046" s="2" t="s">
        <v>5484</v>
      </c>
    </row>
    <row r="1047" spans="1:69" ht="126" x14ac:dyDescent="0.45">
      <c r="A1047" s="5">
        <v>1046</v>
      </c>
      <c r="B1047" s="6" t="s">
        <v>785</v>
      </c>
      <c r="C1047" s="6" t="s">
        <v>6851</v>
      </c>
      <c r="D1047" s="7" t="s">
        <v>9794</v>
      </c>
      <c r="E1047" s="1" t="s">
        <v>5485</v>
      </c>
      <c r="F1047" s="1" t="s">
        <v>5486</v>
      </c>
      <c r="G1047" s="1"/>
      <c r="J1047" s="1" t="s">
        <v>9795</v>
      </c>
      <c r="K1047" s="1" t="s">
        <v>5487</v>
      </c>
      <c r="L1047" s="2" t="s">
        <v>9471</v>
      </c>
      <c r="M1047" s="1" t="s">
        <v>12216</v>
      </c>
      <c r="P1047" s="7" t="s">
        <v>1241</v>
      </c>
      <c r="Q1047" s="13"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1047" s="13"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S1047" s="13"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T1047" s="13"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1047"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V1047"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1047" s="15"/>
      <c r="AV1047" s="1" t="s">
        <v>38</v>
      </c>
      <c r="BG1047" s="7" t="s">
        <v>1242</v>
      </c>
      <c r="BH1047" s="1" t="s">
        <v>1996</v>
      </c>
      <c r="BI1047" s="2" t="s">
        <v>5488</v>
      </c>
      <c r="BJ1047" s="1" t="s">
        <v>1877</v>
      </c>
      <c r="BK1047" s="2" t="s">
        <v>5489</v>
      </c>
    </row>
    <row r="1048" spans="1:69" ht="108" x14ac:dyDescent="0.45">
      <c r="A1048" s="5">
        <v>1047</v>
      </c>
      <c r="B1048" s="6" t="s">
        <v>786</v>
      </c>
      <c r="C1048" s="6" t="s">
        <v>6851</v>
      </c>
      <c r="D1048" s="7" t="s">
        <v>9794</v>
      </c>
      <c r="E1048" s="6" t="s">
        <v>786</v>
      </c>
      <c r="F1048" s="1"/>
      <c r="G1048" s="1"/>
      <c r="J1048" s="1" t="s">
        <v>9795</v>
      </c>
      <c r="K1048" s="1" t="s">
        <v>5490</v>
      </c>
      <c r="L1048" s="2" t="s">
        <v>9472</v>
      </c>
      <c r="P1048" s="7" t="s">
        <v>1241</v>
      </c>
      <c r="AV1048" s="1" t="s">
        <v>38</v>
      </c>
      <c r="BG1048" s="7" t="s">
        <v>1242</v>
      </c>
      <c r="BH1048" s="1" t="s">
        <v>1947</v>
      </c>
      <c r="BI1048" s="1" t="s">
        <v>5491</v>
      </c>
      <c r="BJ1048" s="1" t="s">
        <v>1959</v>
      </c>
      <c r="BK1048" s="1" t="s">
        <v>5492</v>
      </c>
      <c r="BL1048" s="1" t="s">
        <v>1875</v>
      </c>
      <c r="BM1048" s="2" t="s">
        <v>5493</v>
      </c>
    </row>
    <row r="1049" spans="1:69" ht="126" x14ac:dyDescent="0.45">
      <c r="A1049" s="5">
        <v>1048</v>
      </c>
      <c r="B1049" s="8" t="s">
        <v>787</v>
      </c>
      <c r="C1049" s="6" t="s">
        <v>6851</v>
      </c>
      <c r="D1049" s="7" t="s">
        <v>9794</v>
      </c>
      <c r="E1049" s="1" t="s">
        <v>1631</v>
      </c>
      <c r="F1049" s="1" t="s">
        <v>121</v>
      </c>
      <c r="G1049" s="1"/>
      <c r="J1049" s="1" t="s">
        <v>9795</v>
      </c>
      <c r="L1049" s="2" t="s">
        <v>9473</v>
      </c>
      <c r="M1049" s="1" t="s">
        <v>12221</v>
      </c>
      <c r="P1049" s="7" t="s">
        <v>1241</v>
      </c>
      <c r="Q1049" s="13"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1049" s="13"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S1049" s="13"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T1049" s="13"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U1049" s="13"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AU1049" s="15"/>
      <c r="AV1049" s="1" t="s">
        <v>38</v>
      </c>
      <c r="BG1049" s="7" t="s">
        <v>1242</v>
      </c>
      <c r="BH1049" s="1" t="s">
        <v>1947</v>
      </c>
      <c r="BI1049" s="2" t="s">
        <v>5494</v>
      </c>
      <c r="BJ1049" s="1" t="s">
        <v>2026</v>
      </c>
      <c r="BK1049" s="2" t="s">
        <v>5495</v>
      </c>
      <c r="BL1049" s="1" t="s">
        <v>1959</v>
      </c>
      <c r="BM1049" s="1" t="s">
        <v>5496</v>
      </c>
      <c r="BN1049" s="1" t="s">
        <v>1875</v>
      </c>
      <c r="BO1049" s="2" t="s">
        <v>5497</v>
      </c>
    </row>
    <row r="1050" spans="1:69" ht="144" x14ac:dyDescent="0.45">
      <c r="A1050" s="5">
        <v>1049</v>
      </c>
      <c r="B1050" s="6" t="s">
        <v>788</v>
      </c>
      <c r="C1050" s="6" t="s">
        <v>6851</v>
      </c>
      <c r="D1050" s="7" t="s">
        <v>9794</v>
      </c>
      <c r="E1050" s="1" t="s">
        <v>788</v>
      </c>
      <c r="F1050" s="1"/>
      <c r="G1050" s="1"/>
      <c r="J1050" s="1" t="s">
        <v>9795</v>
      </c>
      <c r="K1050" s="1" t="s">
        <v>5498</v>
      </c>
      <c r="L1050" s="2" t="s">
        <v>9474</v>
      </c>
      <c r="P1050" s="7" t="s">
        <v>1241</v>
      </c>
      <c r="AU1050" s="15"/>
      <c r="AV1050" s="1" t="s">
        <v>38</v>
      </c>
      <c r="BG1050" s="7" t="s">
        <v>1242</v>
      </c>
      <c r="BH1050" s="1" t="s">
        <v>1947</v>
      </c>
      <c r="BI1050" s="2" t="s">
        <v>5499</v>
      </c>
      <c r="BJ1050" s="1" t="s">
        <v>1959</v>
      </c>
      <c r="BK1050" s="2" t="s">
        <v>5500</v>
      </c>
      <c r="BL1050" s="1" t="s">
        <v>1875</v>
      </c>
      <c r="BM1050" s="2" t="s">
        <v>5501</v>
      </c>
    </row>
    <row r="1051" spans="1:69" ht="216" x14ac:dyDescent="0.45">
      <c r="A1051" s="5">
        <v>1050</v>
      </c>
      <c r="B1051" s="6" t="s">
        <v>789</v>
      </c>
      <c r="C1051" s="6" t="s">
        <v>6851</v>
      </c>
      <c r="D1051" s="7" t="s">
        <v>9794</v>
      </c>
      <c r="E1051" s="1" t="s">
        <v>1413</v>
      </c>
      <c r="F1051" s="1" t="s">
        <v>9475</v>
      </c>
      <c r="G1051" s="1" t="s">
        <v>1584</v>
      </c>
      <c r="J1051" s="1" t="s">
        <v>9795</v>
      </c>
      <c r="K1051" s="1" t="s">
        <v>9476</v>
      </c>
      <c r="L1051" s="3" t="s">
        <v>9493</v>
      </c>
      <c r="P1051" s="7" t="s">
        <v>1241</v>
      </c>
      <c r="Q1051" s="13" t="str">
        <f>INDEX($L:$L, MATCH("pedestrian", $B:$B, 0))</f>
        <v>&lt;span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v>
      </c>
      <c r="AU1051" s="15"/>
      <c r="AV1051" s="1" t="s">
        <v>38</v>
      </c>
      <c r="BG1051" s="7" t="s">
        <v>1242</v>
      </c>
      <c r="BH1051" s="1" t="s">
        <v>1947</v>
      </c>
      <c r="BI1051" s="2" t="s">
        <v>9477</v>
      </c>
      <c r="BJ1051" s="1" t="s">
        <v>1959</v>
      </c>
      <c r="BK1051" s="2" t="s">
        <v>5502</v>
      </c>
      <c r="BL1051" s="1" t="s">
        <v>1875</v>
      </c>
      <c r="BM1051" s="2" t="s">
        <v>5503</v>
      </c>
      <c r="BN1051" s="1" t="s">
        <v>1877</v>
      </c>
      <c r="BO1051" s="2" t="s">
        <v>5504</v>
      </c>
    </row>
    <row r="1052" spans="1:69" ht="198" x14ac:dyDescent="0.45">
      <c r="A1052" s="5">
        <v>1051</v>
      </c>
      <c r="B1052" s="6" t="s">
        <v>790</v>
      </c>
      <c r="C1052" s="6" t="s">
        <v>6851</v>
      </c>
      <c r="D1052" s="7" t="s">
        <v>9794</v>
      </c>
      <c r="E1052" s="1" t="s">
        <v>1459</v>
      </c>
      <c r="F1052" s="1" t="s">
        <v>5505</v>
      </c>
      <c r="G1052" s="1" t="s">
        <v>1698</v>
      </c>
      <c r="J1052" s="1" t="s">
        <v>9795</v>
      </c>
      <c r="L1052" s="3" t="s">
        <v>9743</v>
      </c>
      <c r="P1052" s="7" t="s">
        <v>1241</v>
      </c>
      <c r="AU1052" s="15"/>
      <c r="AV1052" s="1" t="s">
        <v>38</v>
      </c>
      <c r="BG1052" s="7" t="s">
        <v>1242</v>
      </c>
      <c r="BH1052" s="1" t="s">
        <v>1976</v>
      </c>
      <c r="BI1052" s="2" t="s">
        <v>5506</v>
      </c>
      <c r="BJ1052" s="1" t="s">
        <v>1947</v>
      </c>
      <c r="BK1052" s="2" t="s">
        <v>9478</v>
      </c>
      <c r="BL1052" s="1" t="s">
        <v>1996</v>
      </c>
      <c r="BM1052" s="2" t="s">
        <v>5507</v>
      </c>
      <c r="BN1052" s="1" t="s">
        <v>1875</v>
      </c>
      <c r="BO1052" s="2" t="s">
        <v>5508</v>
      </c>
    </row>
    <row r="1053" spans="1:69" ht="144" x14ac:dyDescent="0.45">
      <c r="A1053" s="5">
        <v>1052</v>
      </c>
      <c r="B1053" s="6" t="s">
        <v>791</v>
      </c>
      <c r="C1053" s="6" t="s">
        <v>6851</v>
      </c>
      <c r="D1053" s="7" t="s">
        <v>9794</v>
      </c>
      <c r="E1053" s="6" t="s">
        <v>791</v>
      </c>
      <c r="F1053" s="1"/>
      <c r="G1053" s="1"/>
      <c r="J1053" s="1" t="s">
        <v>9795</v>
      </c>
      <c r="L1053" s="2" t="s">
        <v>9479</v>
      </c>
      <c r="P1053" s="7" t="s">
        <v>1241</v>
      </c>
      <c r="AU1053" s="15"/>
      <c r="AV1053" s="1" t="s">
        <v>38</v>
      </c>
      <c r="BG1053" s="7" t="s">
        <v>1242</v>
      </c>
      <c r="BH1053" s="1" t="s">
        <v>1872</v>
      </c>
      <c r="BI1053" s="2" t="s">
        <v>5509</v>
      </c>
      <c r="BJ1053" s="1" t="s">
        <v>1875</v>
      </c>
      <c r="BK1053" s="1" t="s">
        <v>5510</v>
      </c>
      <c r="BL1053" s="1" t="s">
        <v>1877</v>
      </c>
      <c r="BM1053" s="2" t="s">
        <v>5511</v>
      </c>
    </row>
    <row r="1054" spans="1:69" ht="126" x14ac:dyDescent="0.45">
      <c r="A1054" s="5">
        <v>1053</v>
      </c>
      <c r="B1054" s="6" t="s">
        <v>792</v>
      </c>
      <c r="C1054" s="6" t="s">
        <v>6851</v>
      </c>
      <c r="D1054" s="7" t="s">
        <v>9794</v>
      </c>
      <c r="E1054" s="6" t="s">
        <v>792</v>
      </c>
      <c r="F1054" s="1"/>
      <c r="G1054" s="1"/>
      <c r="J1054" s="1" t="s">
        <v>9795</v>
      </c>
      <c r="L1054" s="2" t="s">
        <v>9480</v>
      </c>
      <c r="P1054" s="7" t="s">
        <v>1241</v>
      </c>
      <c r="Q1054"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R1054"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S1054" s="13" t="str">
        <f>INDEX($L:$L, MATCH("justice", $B:$B, 0))</f>
        <v>&lt;span class="w"&gt;&lt;b&gt;【769.justice：公正, 正義, 司法】&lt;/b&gt;&lt;/span&gt;
&lt;span class="ml"&gt;ラテン語ius（法）に由来する。
&lt;span class="spacer"&gt;&lt;/span&gt;この語の核は「法」。法を司る「司法」や、法や道徳に基づく「正義」や「公正」という意味になる。&lt;/span&gt;</v>
      </c>
      <c r="AU1054" s="15"/>
      <c r="AV1054" s="1" t="s">
        <v>38</v>
      </c>
      <c r="BG1054" s="7" t="s">
        <v>1242</v>
      </c>
      <c r="BH1054" s="1" t="s">
        <v>1947</v>
      </c>
      <c r="BI1054" s="2" t="s">
        <v>5512</v>
      </c>
      <c r="BJ1054" s="1" t="s">
        <v>1967</v>
      </c>
      <c r="BK1054" s="1" t="s">
        <v>5513</v>
      </c>
      <c r="BL1054" s="1" t="s">
        <v>1959</v>
      </c>
      <c r="BM1054" s="2" t="s">
        <v>5514</v>
      </c>
      <c r="BN1054" s="1" t="s">
        <v>1875</v>
      </c>
      <c r="BO1054" s="2" t="s">
        <v>5515</v>
      </c>
      <c r="BP1054" s="1" t="s">
        <v>1877</v>
      </c>
      <c r="BQ1054" s="2" t="s">
        <v>5516</v>
      </c>
    </row>
    <row r="1055" spans="1:69" ht="180" x14ac:dyDescent="0.45">
      <c r="A1055" s="5">
        <v>1054</v>
      </c>
      <c r="B1055" s="6" t="s">
        <v>793</v>
      </c>
      <c r="C1055" s="6" t="s">
        <v>6851</v>
      </c>
      <c r="D1055" s="7" t="s">
        <v>9794</v>
      </c>
      <c r="E1055" s="1" t="s">
        <v>5517</v>
      </c>
      <c r="F1055" s="1" t="s">
        <v>1551</v>
      </c>
      <c r="G1055" s="1"/>
      <c r="J1055" s="1" t="s">
        <v>9795</v>
      </c>
      <c r="L1055" s="2" t="s">
        <v>9481</v>
      </c>
      <c r="P1055" s="7" t="s">
        <v>1241</v>
      </c>
      <c r="AU1055" s="15"/>
      <c r="AV1055" s="1" t="s">
        <v>38</v>
      </c>
      <c r="BG1055" s="7" t="s">
        <v>1242</v>
      </c>
      <c r="BH1055" s="1" t="s">
        <v>2458</v>
      </c>
      <c r="BI1055" s="2" t="s">
        <v>5518</v>
      </c>
      <c r="BJ1055" s="1" t="s">
        <v>2036</v>
      </c>
      <c r="BK1055" s="1" t="s">
        <v>5519</v>
      </c>
      <c r="BL1055" s="1" t="s">
        <v>1959</v>
      </c>
      <c r="BM1055" s="2" t="s">
        <v>5520</v>
      </c>
      <c r="BN1055" s="1" t="s">
        <v>1875</v>
      </c>
      <c r="BO1055" s="2" t="s">
        <v>5521</v>
      </c>
      <c r="BP1055" s="1" t="s">
        <v>1877</v>
      </c>
      <c r="BQ1055" s="2" t="s">
        <v>5522</v>
      </c>
    </row>
    <row r="1056" spans="1:69" ht="126" x14ac:dyDescent="0.45">
      <c r="A1056" s="5">
        <v>1055</v>
      </c>
      <c r="B1056" s="8" t="s">
        <v>794</v>
      </c>
      <c r="C1056" s="6" t="s">
        <v>6851</v>
      </c>
      <c r="D1056" s="7" t="s">
        <v>9794</v>
      </c>
      <c r="E1056" s="1" t="s">
        <v>9482</v>
      </c>
      <c r="F1056" s="1" t="s">
        <v>49</v>
      </c>
      <c r="G1056" s="1" t="s">
        <v>1522</v>
      </c>
      <c r="J1056" s="1" t="s">
        <v>9795</v>
      </c>
      <c r="L1056" s="2" t="s">
        <v>9483</v>
      </c>
      <c r="P1056" s="7" t="s">
        <v>1241</v>
      </c>
      <c r="Q1056" s="13" t="str">
        <f>INDEX($L:$L, MATCH("pain", $B:$B, 0))</f>
        <v>&lt;span class="w"&gt;&lt;b&gt;【247.pain：苦痛, 痛み, （painsで）骨折り】&lt;/b&gt;&lt;/span&gt;
&lt;span class="ml"&gt;ギリシャ語poinē（報復, 刑罰）に由来する。
&lt;span class="spacer"&gt;&lt;/span&gt;古代の報復や刑罰による苦しみが、一般的な意味での「苦痛, 痛み」となる。さらにそこから、苦痛を伴いながら何かを行うという「苦労, 骨折り」という意味にもなる。
&lt;span class="spacer"&gt;&lt;/span&gt;&lt;span class="obsolete"&gt;骨折り：努力した割に疲労しか得られなかった「骨折り損のくたびれ儲け」の「骨折り」と同じ意味。&lt;/span&gt;&lt;/span&gt;</v>
      </c>
      <c r="AV1056" s="1" t="s">
        <v>38</v>
      </c>
      <c r="BG1056" s="7" t="s">
        <v>1242</v>
      </c>
      <c r="BH1056" s="1" t="s">
        <v>2458</v>
      </c>
      <c r="BI1056" s="1" t="s">
        <v>5523</v>
      </c>
      <c r="BJ1056" s="1" t="s">
        <v>1947</v>
      </c>
      <c r="BK1056" s="2" t="s">
        <v>5524</v>
      </c>
      <c r="BL1056" s="1" t="s">
        <v>1967</v>
      </c>
      <c r="BM1056" s="2" t="s">
        <v>5525</v>
      </c>
      <c r="BN1056" s="1" t="s">
        <v>1959</v>
      </c>
      <c r="BO1056" s="1" t="s">
        <v>5526</v>
      </c>
      <c r="BP1056" s="1" t="s">
        <v>1877</v>
      </c>
      <c r="BQ1056" s="2" t="s">
        <v>5527</v>
      </c>
    </row>
    <row r="1057" spans="1:69" ht="198" x14ac:dyDescent="0.45">
      <c r="A1057" s="5">
        <v>1056</v>
      </c>
      <c r="B1057" s="6" t="s">
        <v>795</v>
      </c>
      <c r="C1057" s="6" t="s">
        <v>6851</v>
      </c>
      <c r="D1057" s="7" t="s">
        <v>9794</v>
      </c>
      <c r="E1057" s="1" t="s">
        <v>3374</v>
      </c>
      <c r="F1057" s="1" t="s">
        <v>5528</v>
      </c>
      <c r="G1057" s="1" t="s">
        <v>1522</v>
      </c>
      <c r="J1057" s="1" t="s">
        <v>9795</v>
      </c>
      <c r="L1057" s="3" t="s">
        <v>9744</v>
      </c>
      <c r="P1057" s="7" t="s">
        <v>1241</v>
      </c>
      <c r="Q1057" s="13"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AU1057" s="15"/>
      <c r="AV1057" s="1" t="s">
        <v>38</v>
      </c>
      <c r="BG1057" s="7" t="s">
        <v>1242</v>
      </c>
      <c r="BH1057" s="1" t="s">
        <v>1947</v>
      </c>
      <c r="BI1057" s="2" t="s">
        <v>5529</v>
      </c>
      <c r="BJ1057" s="1" t="s">
        <v>1959</v>
      </c>
      <c r="BK1057" s="1" t="s">
        <v>5530</v>
      </c>
      <c r="BL1057" s="1" t="s">
        <v>1875</v>
      </c>
      <c r="BM1057" s="2" t="s">
        <v>5531</v>
      </c>
      <c r="BN1057" s="1" t="s">
        <v>1877</v>
      </c>
      <c r="BO1057" s="2" t="s">
        <v>5532</v>
      </c>
    </row>
    <row r="1058" spans="1:69" ht="198" x14ac:dyDescent="0.45">
      <c r="A1058" s="5">
        <v>1057</v>
      </c>
      <c r="B1058" s="6" t="s">
        <v>796</v>
      </c>
      <c r="C1058" s="6" t="s">
        <v>6851</v>
      </c>
      <c r="D1058" s="7" t="s">
        <v>9794</v>
      </c>
      <c r="E1058" s="6" t="s">
        <v>796</v>
      </c>
      <c r="F1058" s="1"/>
      <c r="G1058" s="1"/>
      <c r="J1058" s="1" t="s">
        <v>9795</v>
      </c>
      <c r="L1058" s="3" t="s">
        <v>9484</v>
      </c>
      <c r="P1058" s="7" t="s">
        <v>1241</v>
      </c>
      <c r="AV1058" s="1" t="s">
        <v>38</v>
      </c>
      <c r="BG1058" s="7" t="s">
        <v>1242</v>
      </c>
      <c r="BH1058" s="1" t="s">
        <v>2458</v>
      </c>
      <c r="BI1058" s="1" t="s">
        <v>5533</v>
      </c>
      <c r="BJ1058" s="1" t="s">
        <v>1967</v>
      </c>
      <c r="BK1058" s="1" t="s">
        <v>5534</v>
      </c>
      <c r="BL1058" s="1" t="s">
        <v>1877</v>
      </c>
      <c r="BM1058" s="2" t="s">
        <v>5535</v>
      </c>
    </row>
    <row r="1059" spans="1:69" ht="162" x14ac:dyDescent="0.45">
      <c r="A1059" s="5">
        <v>1058</v>
      </c>
      <c r="B1059" s="6" t="s">
        <v>797</v>
      </c>
      <c r="C1059" s="6" t="s">
        <v>6851</v>
      </c>
      <c r="D1059" s="7" t="s">
        <v>9794</v>
      </c>
      <c r="E1059" s="1" t="s">
        <v>9485</v>
      </c>
      <c r="F1059" s="1" t="s">
        <v>1584</v>
      </c>
      <c r="G1059" s="1"/>
      <c r="J1059" s="1" t="s">
        <v>9795</v>
      </c>
      <c r="L1059" s="2" t="s">
        <v>9486</v>
      </c>
      <c r="P1059" s="7" t="s">
        <v>1241</v>
      </c>
      <c r="Q1059" s="13" t="str">
        <f>INDEX($L:$L, MATCH("nurture", $B:$B, 0))</f>
        <v>&lt;span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v>
      </c>
      <c r="AU1059" s="15"/>
      <c r="AV1059" s="1" t="s">
        <v>38</v>
      </c>
      <c r="BG1059" s="7" t="s">
        <v>1242</v>
      </c>
      <c r="BH1059" s="1" t="s">
        <v>1947</v>
      </c>
      <c r="BI1059" s="2" t="s">
        <v>5536</v>
      </c>
      <c r="BJ1059" s="1" t="s">
        <v>1959</v>
      </c>
      <c r="BK1059" s="2" t="s">
        <v>5537</v>
      </c>
      <c r="BL1059" s="1" t="s">
        <v>1877</v>
      </c>
      <c r="BM1059" s="2" t="s">
        <v>5538</v>
      </c>
    </row>
    <row r="1060" spans="1:69" ht="108" x14ac:dyDescent="0.45">
      <c r="A1060" s="5">
        <v>1059</v>
      </c>
      <c r="B1060" s="8" t="s">
        <v>798</v>
      </c>
      <c r="C1060" s="6" t="s">
        <v>6851</v>
      </c>
      <c r="D1060" s="7" t="s">
        <v>9794</v>
      </c>
      <c r="E1060" s="1" t="s">
        <v>5539</v>
      </c>
      <c r="F1060" s="1" t="s">
        <v>3162</v>
      </c>
      <c r="G1060" s="1"/>
      <c r="J1060" s="1" t="s">
        <v>9795</v>
      </c>
      <c r="K1060" s="2"/>
      <c r="L1060" s="2" t="s">
        <v>9487</v>
      </c>
      <c r="M1060" s="1" t="s">
        <v>12192</v>
      </c>
      <c r="P1060" s="7" t="s">
        <v>1241</v>
      </c>
      <c r="Q1060" s="13"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1060" s="13"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S1060" s="13"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T1060" s="13"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U1060"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1060"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W1060" s="13"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X1060" s="13" t="str">
        <f>INDEX($L:$L, MATCH("molecule", $B:$B, 0))</f>
        <v>&lt;span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v>
      </c>
      <c r="Y1060" s="13" t="str">
        <f>INDEX($L:$L, MATCH("nuclear", $B:$B, 0))</f>
        <v>&lt;span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v>
      </c>
      <c r="AU1060" s="15"/>
      <c r="AV1060" s="1" t="s">
        <v>38</v>
      </c>
      <c r="BG1060" s="7" t="s">
        <v>1242</v>
      </c>
      <c r="BH1060" s="1" t="s">
        <v>1947</v>
      </c>
      <c r="BI1060" s="2" t="s">
        <v>5540</v>
      </c>
      <c r="BJ1060" s="1" t="s">
        <v>1875</v>
      </c>
      <c r="BK1060" s="2" t="s">
        <v>5541</v>
      </c>
      <c r="BL1060" s="1" t="s">
        <v>1877</v>
      </c>
      <c r="BM1060" s="2" t="s">
        <v>5542</v>
      </c>
      <c r="BN1060" s="1" t="s">
        <v>3497</v>
      </c>
      <c r="BO1060" s="2" t="s">
        <v>5543</v>
      </c>
    </row>
    <row r="1061" spans="1:69" ht="180" x14ac:dyDescent="0.45">
      <c r="A1061" s="5">
        <v>1060</v>
      </c>
      <c r="B1061" s="6" t="s">
        <v>799</v>
      </c>
      <c r="C1061" s="6" t="s">
        <v>6851</v>
      </c>
      <c r="D1061" s="7" t="s">
        <v>9794</v>
      </c>
      <c r="E1061" s="1" t="s">
        <v>5544</v>
      </c>
      <c r="F1061" s="1" t="s">
        <v>5545</v>
      </c>
      <c r="G1061" s="1"/>
      <c r="J1061" s="1" t="s">
        <v>9795</v>
      </c>
      <c r="K1061" s="2"/>
      <c r="L1061" s="3" t="s">
        <v>9494</v>
      </c>
      <c r="M1061" s="1" t="s">
        <v>12192</v>
      </c>
      <c r="P1061" s="7" t="s">
        <v>1241</v>
      </c>
      <c r="Q1061" s="13"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R1061"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S1061"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T1061" s="13" t="str">
        <f>INDEX($L:$L, MATCH("nuclear", $B:$B, 0))</f>
        <v>&lt;span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v>
      </c>
      <c r="AU1061" s="15"/>
      <c r="AV1061" s="1" t="s">
        <v>38</v>
      </c>
      <c r="BG1061" s="7" t="s">
        <v>1242</v>
      </c>
      <c r="BH1061" s="1" t="s">
        <v>1947</v>
      </c>
      <c r="BI1061" s="2" t="s">
        <v>5546</v>
      </c>
      <c r="BJ1061" s="1" t="s">
        <v>3408</v>
      </c>
      <c r="BK1061" s="2" t="s">
        <v>5547</v>
      </c>
      <c r="BL1061" s="1" t="s">
        <v>1877</v>
      </c>
      <c r="BM1061" s="2" t="s">
        <v>5548</v>
      </c>
    </row>
    <row r="1062" spans="1:69" ht="180" x14ac:dyDescent="0.45">
      <c r="A1062" s="5">
        <v>1061</v>
      </c>
      <c r="B1062" s="6" t="s">
        <v>800</v>
      </c>
      <c r="C1062" s="6" t="s">
        <v>6851</v>
      </c>
      <c r="D1062" s="7" t="s">
        <v>9794</v>
      </c>
      <c r="E1062" s="1" t="s">
        <v>5549</v>
      </c>
      <c r="F1062" s="1" t="s">
        <v>49</v>
      </c>
      <c r="G1062" s="1" t="s">
        <v>1474</v>
      </c>
      <c r="J1062" s="1" t="s">
        <v>9795</v>
      </c>
      <c r="K1062" s="1" t="s">
        <v>5550</v>
      </c>
      <c r="L1062" s="2" t="s">
        <v>9488</v>
      </c>
      <c r="P1062" s="7" t="s">
        <v>1241</v>
      </c>
      <c r="Q1062" s="16"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062" s="16"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1062" s="19"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T1062" s="19"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U1062" s="19"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V1062" s="19"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W1062" s="19"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X1062" s="19"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1062" s="1" t="s">
        <v>38</v>
      </c>
      <c r="BG1062" s="7" t="s">
        <v>1242</v>
      </c>
      <c r="BH1062" s="1" t="s">
        <v>1976</v>
      </c>
      <c r="BI1062" s="1" t="s">
        <v>5551</v>
      </c>
      <c r="BJ1062" s="1" t="s">
        <v>1947</v>
      </c>
      <c r="BK1062" s="2" t="s">
        <v>5552</v>
      </c>
      <c r="BL1062" s="1" t="s">
        <v>1877</v>
      </c>
      <c r="BM1062" s="2" t="s">
        <v>5553</v>
      </c>
    </row>
    <row r="1063" spans="1:69" ht="126" x14ac:dyDescent="0.45">
      <c r="A1063" s="5">
        <v>1062</v>
      </c>
      <c r="B1063" s="6" t="s">
        <v>801</v>
      </c>
      <c r="C1063" s="6" t="s">
        <v>6851</v>
      </c>
      <c r="D1063" s="7" t="s">
        <v>9794</v>
      </c>
      <c r="E1063" s="1" t="s">
        <v>801</v>
      </c>
      <c r="F1063" s="1"/>
      <c r="G1063" s="1"/>
      <c r="J1063" s="1" t="s">
        <v>9795</v>
      </c>
      <c r="L1063" s="3" t="s">
        <v>9495</v>
      </c>
      <c r="P1063" s="7" t="s">
        <v>1241</v>
      </c>
      <c r="AV1063" s="1" t="s">
        <v>38</v>
      </c>
      <c r="BG1063" s="7" t="s">
        <v>1242</v>
      </c>
      <c r="BH1063" s="1" t="s">
        <v>5554</v>
      </c>
      <c r="BI1063" s="1" t="s">
        <v>5555</v>
      </c>
      <c r="BJ1063" s="1" t="s">
        <v>1875</v>
      </c>
      <c r="BK1063" s="2" t="s">
        <v>5556</v>
      </c>
      <c r="BL1063" s="1" t="s">
        <v>1877</v>
      </c>
      <c r="BM1063" s="2" t="s">
        <v>5557</v>
      </c>
      <c r="BN1063" s="1" t="s">
        <v>3497</v>
      </c>
      <c r="BO1063" s="2" t="s">
        <v>5558</v>
      </c>
    </row>
    <row r="1064" spans="1:69" ht="144" x14ac:dyDescent="0.45">
      <c r="A1064" s="5">
        <v>1063</v>
      </c>
      <c r="B1064" s="8" t="s">
        <v>802</v>
      </c>
      <c r="C1064" s="6" t="s">
        <v>6851</v>
      </c>
      <c r="D1064" s="7" t="s">
        <v>9794</v>
      </c>
      <c r="E1064" s="1" t="s">
        <v>5559</v>
      </c>
      <c r="F1064" s="1" t="s">
        <v>1551</v>
      </c>
      <c r="G1064" s="1"/>
      <c r="J1064" s="1" t="s">
        <v>9795</v>
      </c>
      <c r="L1064" s="2" t="s">
        <v>9489</v>
      </c>
      <c r="P1064" s="7" t="s">
        <v>1241</v>
      </c>
      <c r="AU1064" s="15"/>
      <c r="AV1064" s="1" t="s">
        <v>38</v>
      </c>
      <c r="BG1064" s="7" t="s">
        <v>1242</v>
      </c>
      <c r="BH1064" s="1" t="s">
        <v>2458</v>
      </c>
      <c r="BI1064" s="2" t="s">
        <v>9490</v>
      </c>
      <c r="BJ1064" s="1" t="s">
        <v>1947</v>
      </c>
      <c r="BK1064" s="2" t="s">
        <v>5560</v>
      </c>
      <c r="BL1064" s="1" t="s">
        <v>1996</v>
      </c>
      <c r="BM1064" s="2" t="s">
        <v>5561</v>
      </c>
      <c r="BN1064" s="1" t="s">
        <v>1877</v>
      </c>
      <c r="BO1064" s="2" t="s">
        <v>5562</v>
      </c>
    </row>
    <row r="1065" spans="1:69" ht="198" x14ac:dyDescent="0.45">
      <c r="A1065" s="5">
        <v>1064</v>
      </c>
      <c r="B1065" s="8" t="s">
        <v>803</v>
      </c>
      <c r="C1065" s="6" t="s">
        <v>6851</v>
      </c>
      <c r="D1065" s="7" t="s">
        <v>9794</v>
      </c>
      <c r="E1065" s="1" t="s">
        <v>1327</v>
      </c>
      <c r="F1065" s="1" t="s">
        <v>1517</v>
      </c>
      <c r="G1065" s="1" t="s">
        <v>5563</v>
      </c>
      <c r="J1065" s="1" t="s">
        <v>9795</v>
      </c>
      <c r="L1065" s="3" t="s">
        <v>9496</v>
      </c>
      <c r="M1065" s="1" t="s">
        <v>12210</v>
      </c>
      <c r="P1065" s="7" t="s">
        <v>1241</v>
      </c>
      <c r="Q1065" s="13"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1065" s="13"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1065"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T1065" s="13"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1065"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V1065"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U1065" s="15"/>
      <c r="AV1065" s="1" t="s">
        <v>38</v>
      </c>
      <c r="BG1065" s="7" t="s">
        <v>1242</v>
      </c>
      <c r="BH1065" s="1" t="s">
        <v>1947</v>
      </c>
      <c r="BI1065" s="2" t="s">
        <v>5564</v>
      </c>
      <c r="BJ1065" s="1" t="s">
        <v>1877</v>
      </c>
      <c r="BK1065" s="2" t="s">
        <v>5565</v>
      </c>
    </row>
    <row r="1066" spans="1:69" ht="162" x14ac:dyDescent="0.45">
      <c r="A1066" s="5">
        <v>1065</v>
      </c>
      <c r="B1066" s="6" t="s">
        <v>804</v>
      </c>
      <c r="C1066" s="6" t="s">
        <v>6851</v>
      </c>
      <c r="D1066" s="7" t="s">
        <v>9794</v>
      </c>
      <c r="E1066" s="6" t="s">
        <v>804</v>
      </c>
      <c r="F1066" s="1"/>
      <c r="G1066" s="1"/>
      <c r="J1066" s="1" t="s">
        <v>9795</v>
      </c>
      <c r="L1066" s="2" t="s">
        <v>9497</v>
      </c>
      <c r="P1066" s="7" t="s">
        <v>1241</v>
      </c>
      <c r="AV1066" s="1" t="s">
        <v>38</v>
      </c>
      <c r="BG1066" s="7" t="s">
        <v>1242</v>
      </c>
      <c r="BH1066" s="1" t="s">
        <v>5566</v>
      </c>
      <c r="BI1066" s="1" t="s">
        <v>5567</v>
      </c>
      <c r="BJ1066" s="1" t="s">
        <v>1947</v>
      </c>
      <c r="BK1066" s="1" t="s">
        <v>5568</v>
      </c>
      <c r="BL1066" s="1" t="s">
        <v>1996</v>
      </c>
      <c r="BM1066" s="2" t="s">
        <v>5569</v>
      </c>
      <c r="BN1066" s="1" t="s">
        <v>1877</v>
      </c>
      <c r="BO1066" s="2" t="s">
        <v>5570</v>
      </c>
    </row>
    <row r="1067" spans="1:69" ht="162" x14ac:dyDescent="0.45">
      <c r="A1067" s="5">
        <v>1066</v>
      </c>
      <c r="B1067" s="6" t="s">
        <v>805</v>
      </c>
      <c r="C1067" s="6" t="s">
        <v>6851</v>
      </c>
      <c r="D1067" s="7" t="s">
        <v>9794</v>
      </c>
      <c r="E1067" s="1" t="s">
        <v>1631</v>
      </c>
      <c r="F1067" s="1" t="s">
        <v>5571</v>
      </c>
      <c r="G1067" s="1"/>
      <c r="J1067" s="1" t="s">
        <v>9795</v>
      </c>
      <c r="L1067" s="3" t="s">
        <v>9498</v>
      </c>
      <c r="P1067" s="7" t="s">
        <v>1241</v>
      </c>
      <c r="AU1067" s="15"/>
      <c r="AV1067" s="1" t="s">
        <v>38</v>
      </c>
      <c r="BG1067" s="7" t="s">
        <v>1242</v>
      </c>
      <c r="BH1067" s="1" t="s">
        <v>2458</v>
      </c>
      <c r="BI1067" s="2" t="s">
        <v>9499</v>
      </c>
      <c r="BJ1067" s="1" t="s">
        <v>2036</v>
      </c>
      <c r="BK1067" s="1" t="s">
        <v>805</v>
      </c>
      <c r="BL1067" s="1" t="s">
        <v>1877</v>
      </c>
      <c r="BM1067" s="2" t="s">
        <v>5572</v>
      </c>
    </row>
    <row r="1068" spans="1:69" ht="108" x14ac:dyDescent="0.45">
      <c r="A1068" s="5" t="s">
        <v>5573</v>
      </c>
      <c r="B1068" s="6" t="s">
        <v>806</v>
      </c>
      <c r="C1068" s="6" t="s">
        <v>6851</v>
      </c>
      <c r="D1068" s="7" t="s">
        <v>9794</v>
      </c>
      <c r="E1068" s="6" t="s">
        <v>806</v>
      </c>
      <c r="F1068" s="1"/>
      <c r="G1068" s="1"/>
      <c r="J1068" s="1" t="s">
        <v>9795</v>
      </c>
      <c r="L1068" s="3" t="s">
        <v>9500</v>
      </c>
      <c r="P1068" s="7" t="s">
        <v>1241</v>
      </c>
      <c r="AV1068" s="1" t="s">
        <v>38</v>
      </c>
      <c r="BG1068" s="7" t="s">
        <v>1242</v>
      </c>
      <c r="BH1068" s="1" t="s">
        <v>1947</v>
      </c>
      <c r="BI1068" s="1" t="s">
        <v>5574</v>
      </c>
      <c r="BJ1068" s="1" t="s">
        <v>1959</v>
      </c>
      <c r="BK1068" s="2" t="s">
        <v>5575</v>
      </c>
      <c r="BL1068" s="1" t="s">
        <v>1875</v>
      </c>
      <c r="BM1068" s="2" t="s">
        <v>5576</v>
      </c>
      <c r="BN1068" s="1" t="s">
        <v>1877</v>
      </c>
      <c r="BO1068" s="2" t="s">
        <v>5577</v>
      </c>
    </row>
    <row r="1069" spans="1:69" ht="72" x14ac:dyDescent="0.45">
      <c r="A1069" s="5">
        <v>1068</v>
      </c>
      <c r="B1069" s="6" t="s">
        <v>807</v>
      </c>
      <c r="C1069" s="6" t="s">
        <v>6851</v>
      </c>
      <c r="D1069" s="7" t="s">
        <v>9794</v>
      </c>
      <c r="E1069" s="6" t="s">
        <v>807</v>
      </c>
      <c r="F1069" s="1"/>
      <c r="G1069" s="1"/>
      <c r="J1069" s="1" t="s">
        <v>9795</v>
      </c>
      <c r="L1069" s="2" t="s">
        <v>9501</v>
      </c>
      <c r="P1069" s="7" t="s">
        <v>1241</v>
      </c>
      <c r="AU1069" s="15"/>
      <c r="AV1069" s="1" t="s">
        <v>38</v>
      </c>
      <c r="BG1069" s="7" t="s">
        <v>1242</v>
      </c>
      <c r="BH1069" s="1" t="s">
        <v>1947</v>
      </c>
      <c r="BI1069" s="2" t="s">
        <v>5578</v>
      </c>
      <c r="BJ1069" s="1" t="s">
        <v>1875</v>
      </c>
      <c r="BK1069" s="2" t="s">
        <v>5579</v>
      </c>
      <c r="BL1069" s="1" t="s">
        <v>1877</v>
      </c>
      <c r="BM1069" s="2" t="s">
        <v>5580</v>
      </c>
    </row>
    <row r="1070" spans="1:69" ht="252" x14ac:dyDescent="0.45">
      <c r="A1070" s="5">
        <v>1069</v>
      </c>
      <c r="B1070" s="6" t="s">
        <v>808</v>
      </c>
      <c r="C1070" s="6" t="s">
        <v>6851</v>
      </c>
      <c r="D1070" s="7" t="s">
        <v>9794</v>
      </c>
      <c r="E1070" s="1" t="s">
        <v>5581</v>
      </c>
      <c r="F1070" s="1" t="s">
        <v>1528</v>
      </c>
      <c r="G1070" s="1"/>
      <c r="J1070" s="1" t="s">
        <v>9795</v>
      </c>
      <c r="K1070" s="2" t="s">
        <v>9502</v>
      </c>
      <c r="L1070" s="2" t="s">
        <v>9503</v>
      </c>
      <c r="P1070" s="7" t="s">
        <v>1241</v>
      </c>
      <c r="AV1070" s="1" t="s">
        <v>38</v>
      </c>
      <c r="BG1070" s="7" t="s">
        <v>1242</v>
      </c>
      <c r="BH1070" s="1" t="s">
        <v>1976</v>
      </c>
      <c r="BI1070" s="1" t="s">
        <v>3355</v>
      </c>
      <c r="BJ1070" s="1" t="s">
        <v>1947</v>
      </c>
      <c r="BK1070" s="2" t="s">
        <v>5582</v>
      </c>
      <c r="BL1070" s="1" t="s">
        <v>2036</v>
      </c>
      <c r="BM1070" s="2" t="s">
        <v>5583</v>
      </c>
      <c r="BN1070" s="1" t="s">
        <v>1875</v>
      </c>
      <c r="BO1070" s="2" t="s">
        <v>5584</v>
      </c>
      <c r="BP1070" s="1" t="s">
        <v>1877</v>
      </c>
      <c r="BQ1070" s="2" t="s">
        <v>5585</v>
      </c>
    </row>
    <row r="1071" spans="1:69" ht="108" x14ac:dyDescent="0.45">
      <c r="A1071" s="5">
        <v>1070</v>
      </c>
      <c r="B1071" s="8" t="s">
        <v>809</v>
      </c>
      <c r="C1071" s="6" t="s">
        <v>6851</v>
      </c>
      <c r="D1071" s="7" t="s">
        <v>9794</v>
      </c>
      <c r="E1071" s="1" t="s">
        <v>5586</v>
      </c>
      <c r="F1071" s="1" t="s">
        <v>5587</v>
      </c>
      <c r="G1071" s="1"/>
      <c r="J1071" s="1" t="s">
        <v>9795</v>
      </c>
      <c r="L1071" s="2" t="s">
        <v>9504</v>
      </c>
      <c r="P1071" s="7" t="s">
        <v>1241</v>
      </c>
      <c r="AU1071" s="15"/>
      <c r="AV1071" s="1" t="s">
        <v>38</v>
      </c>
      <c r="BG1071" s="7" t="s">
        <v>1242</v>
      </c>
      <c r="BH1071" s="1" t="s">
        <v>1877</v>
      </c>
      <c r="BI1071" s="2" t="s">
        <v>5588</v>
      </c>
    </row>
    <row r="1072" spans="1:69" ht="72" x14ac:dyDescent="0.45">
      <c r="A1072" s="5">
        <v>1071</v>
      </c>
      <c r="B1072" s="6" t="s">
        <v>810</v>
      </c>
      <c r="C1072" s="6" t="s">
        <v>6851</v>
      </c>
      <c r="D1072" s="7" t="s">
        <v>9794</v>
      </c>
      <c r="E1072" s="1" t="s">
        <v>810</v>
      </c>
      <c r="F1072" s="1"/>
      <c r="G1072" s="1"/>
      <c r="J1072" s="1" t="s">
        <v>9795</v>
      </c>
      <c r="L1072" s="2" t="s">
        <v>9505</v>
      </c>
      <c r="P1072" s="7" t="s">
        <v>1241</v>
      </c>
      <c r="AV1072" s="1" t="s">
        <v>38</v>
      </c>
      <c r="BG1072" s="7" t="s">
        <v>1242</v>
      </c>
      <c r="BH1072" s="1" t="s">
        <v>1947</v>
      </c>
      <c r="BI1072" s="1" t="s">
        <v>5589</v>
      </c>
      <c r="BJ1072" s="1" t="s">
        <v>1959</v>
      </c>
      <c r="BK1072" s="2" t="s">
        <v>5590</v>
      </c>
      <c r="BL1072" s="1" t="s">
        <v>1996</v>
      </c>
      <c r="BM1072" s="2" t="s">
        <v>5591</v>
      </c>
      <c r="BN1072" s="1" t="s">
        <v>1877</v>
      </c>
      <c r="BO1072" s="2" t="s">
        <v>5592</v>
      </c>
    </row>
    <row r="1073" spans="1:71" ht="162" x14ac:dyDescent="0.45">
      <c r="A1073" s="5">
        <v>1072</v>
      </c>
      <c r="B1073" s="6" t="s">
        <v>811</v>
      </c>
      <c r="C1073" s="6" t="s">
        <v>6851</v>
      </c>
      <c r="D1073" s="7" t="s">
        <v>9794</v>
      </c>
      <c r="E1073" s="1" t="s">
        <v>5593</v>
      </c>
      <c r="F1073" s="1" t="s">
        <v>1786</v>
      </c>
      <c r="G1073" s="1" t="s">
        <v>1803</v>
      </c>
      <c r="J1073" s="1" t="s">
        <v>9795</v>
      </c>
      <c r="L1073" s="2" t="s">
        <v>9506</v>
      </c>
      <c r="P1073" s="7" t="s">
        <v>1241</v>
      </c>
      <c r="AU1073" s="15"/>
      <c r="AV1073" s="1" t="s">
        <v>38</v>
      </c>
      <c r="BG1073" s="7" t="s">
        <v>1242</v>
      </c>
      <c r="BH1073" s="1" t="s">
        <v>1872</v>
      </c>
      <c r="BI1073" s="2" t="s">
        <v>5594</v>
      </c>
      <c r="BJ1073" s="1" t="s">
        <v>1875</v>
      </c>
      <c r="BK1073" s="2" t="s">
        <v>5595</v>
      </c>
    </row>
    <row r="1074" spans="1:71" ht="108" x14ac:dyDescent="0.45">
      <c r="A1074" s="5">
        <v>1073</v>
      </c>
      <c r="B1074" s="8" t="s">
        <v>812</v>
      </c>
      <c r="C1074" s="6" t="s">
        <v>6851</v>
      </c>
      <c r="D1074" s="7" t="s">
        <v>9794</v>
      </c>
      <c r="E1074" s="1" t="s">
        <v>5596</v>
      </c>
      <c r="F1074" s="1" t="s">
        <v>5597</v>
      </c>
      <c r="G1074" s="1"/>
      <c r="J1074" s="1" t="s">
        <v>9795</v>
      </c>
      <c r="K1074" s="1" t="s">
        <v>5598</v>
      </c>
      <c r="L1074" s="2" t="s">
        <v>9507</v>
      </c>
      <c r="M1074" s="1" t="s">
        <v>12168</v>
      </c>
      <c r="P1074" s="7" t="s">
        <v>1241</v>
      </c>
      <c r="Q1074" s="13" t="str">
        <f>INDEX($L:$L, MATCH("precise", $B:$B, 0))</f>
        <v>&lt;span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v>
      </c>
      <c r="R1074" s="13" t="str">
        <f>INDEX($L:$L, MATCH("decide", $B:$B, 0))</f>
        <v>&lt;span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v>
      </c>
      <c r="S1074" s="13" t="str">
        <f>INDEX($L:$L, MATCH("suicide", $B:$B, 0))</f>
        <v>&lt;span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切る）からは、decide（決断する）・precise（正確な）・concise（簡潔な）も生まれている。いずれも「切る」が核となっている。
&lt;span class="spacer"&gt;&lt;/span&gt;suicideは、self（自身を）＋cide（切る, 殺す）と考えればよい。&lt;/span&gt;</v>
      </c>
      <c r="AU1074" s="15"/>
      <c r="AV1074" s="1" t="s">
        <v>38</v>
      </c>
      <c r="BG1074" s="7" t="s">
        <v>1242</v>
      </c>
      <c r="BH1074" s="1" t="s">
        <v>3497</v>
      </c>
      <c r="BI1074" s="2" t="s">
        <v>5599</v>
      </c>
    </row>
    <row r="1075" spans="1:71" ht="108" x14ac:dyDescent="0.45">
      <c r="A1075" s="5">
        <v>1074</v>
      </c>
      <c r="B1075" s="6" t="s">
        <v>813</v>
      </c>
      <c r="C1075" s="6" t="s">
        <v>6851</v>
      </c>
      <c r="D1075" s="7" t="s">
        <v>9794</v>
      </c>
      <c r="E1075" s="1" t="s">
        <v>5600</v>
      </c>
      <c r="F1075" s="1" t="s">
        <v>1551</v>
      </c>
      <c r="G1075" s="1"/>
      <c r="J1075" s="1" t="s">
        <v>9795</v>
      </c>
      <c r="L1075" s="2" t="s">
        <v>9508</v>
      </c>
      <c r="P1075" s="7" t="s">
        <v>1241</v>
      </c>
      <c r="AU1075" s="15"/>
      <c r="AV1075" s="1" t="s">
        <v>38</v>
      </c>
      <c r="BG1075" s="7" t="s">
        <v>1242</v>
      </c>
      <c r="BH1075" s="1" t="s">
        <v>2458</v>
      </c>
      <c r="BI1075" s="2" t="s">
        <v>5601</v>
      </c>
      <c r="BJ1075" s="1" t="s">
        <v>1996</v>
      </c>
      <c r="BK1075" s="2" t="s">
        <v>5602</v>
      </c>
      <c r="BL1075" s="1" t="s">
        <v>1877</v>
      </c>
      <c r="BM1075" s="2" t="s">
        <v>5603</v>
      </c>
    </row>
    <row r="1076" spans="1:71" ht="180" x14ac:dyDescent="0.45">
      <c r="A1076" s="5">
        <v>1075</v>
      </c>
      <c r="B1076" s="6" t="s">
        <v>814</v>
      </c>
      <c r="C1076" s="6" t="s">
        <v>6851</v>
      </c>
      <c r="D1076" s="7" t="s">
        <v>9794</v>
      </c>
      <c r="E1076" s="6" t="s">
        <v>814</v>
      </c>
      <c r="F1076" s="1"/>
      <c r="G1076" s="1"/>
      <c r="J1076" s="1" t="s">
        <v>9795</v>
      </c>
      <c r="L1076" s="3" t="s">
        <v>9509</v>
      </c>
      <c r="P1076" s="7" t="s">
        <v>1241</v>
      </c>
      <c r="AU1076" s="15"/>
      <c r="AV1076" s="1" t="s">
        <v>38</v>
      </c>
      <c r="BG1076" s="7" t="s">
        <v>1242</v>
      </c>
      <c r="BH1076" s="1" t="s">
        <v>1947</v>
      </c>
      <c r="BI1076" s="2" t="s">
        <v>5604</v>
      </c>
      <c r="BJ1076" s="1" t="s">
        <v>1959</v>
      </c>
      <c r="BK1076" s="2" t="s">
        <v>5605</v>
      </c>
      <c r="BL1076" s="1" t="s">
        <v>1875</v>
      </c>
      <c r="BM1076" s="2" t="s">
        <v>5606</v>
      </c>
    </row>
    <row r="1077" spans="1:71" ht="90" x14ac:dyDescent="0.45">
      <c r="A1077" s="5">
        <v>1076</v>
      </c>
      <c r="B1077" s="6" t="s">
        <v>815</v>
      </c>
      <c r="C1077" s="6" t="s">
        <v>6851</v>
      </c>
      <c r="D1077" s="7" t="s">
        <v>9794</v>
      </c>
      <c r="E1077" s="6" t="s">
        <v>815</v>
      </c>
      <c r="F1077" s="1"/>
      <c r="G1077" s="1"/>
      <c r="J1077" s="1" t="s">
        <v>9795</v>
      </c>
      <c r="K1077" s="2"/>
      <c r="L1077" s="2" t="s">
        <v>9510</v>
      </c>
      <c r="P1077" s="7" t="s">
        <v>1241</v>
      </c>
      <c r="Q1077" s="13"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1077" s="13"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1077" s="13"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T1077" s="13"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AU1077" s="15"/>
      <c r="AV1077" s="1" t="s">
        <v>38</v>
      </c>
      <c r="BG1077" s="7" t="s">
        <v>1242</v>
      </c>
      <c r="BH1077" s="1" t="s">
        <v>2458</v>
      </c>
      <c r="BI1077" s="2" t="s">
        <v>5607</v>
      </c>
      <c r="BJ1077" s="1" t="s">
        <v>1947</v>
      </c>
      <c r="BK1077" s="1" t="s">
        <v>5608</v>
      </c>
      <c r="BL1077" s="1" t="s">
        <v>1959</v>
      </c>
      <c r="BM1077" s="2" t="s">
        <v>5609</v>
      </c>
      <c r="BN1077" s="1" t="s">
        <v>1875</v>
      </c>
      <c r="BO1077" s="2" t="s">
        <v>5610</v>
      </c>
    </row>
    <row r="1078" spans="1:71" ht="126" x14ac:dyDescent="0.45">
      <c r="A1078" s="5">
        <v>1077</v>
      </c>
      <c r="B1078" s="6" t="s">
        <v>816</v>
      </c>
      <c r="C1078" s="6" t="s">
        <v>6851</v>
      </c>
      <c r="D1078" s="7" t="s">
        <v>9794</v>
      </c>
      <c r="E1078" s="6" t="s">
        <v>816</v>
      </c>
      <c r="F1078" s="1"/>
      <c r="G1078" s="1"/>
      <c r="J1078" s="1" t="s">
        <v>9795</v>
      </c>
      <c r="K1078" s="1" t="s">
        <v>5611</v>
      </c>
      <c r="L1078" s="2" t="s">
        <v>9511</v>
      </c>
      <c r="P1078" s="7" t="s">
        <v>1241</v>
      </c>
      <c r="Q1078" s="13"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1078" s="13"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1078" s="13"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T1078" s="13"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AU1078" s="15"/>
      <c r="AV1078" s="1" t="s">
        <v>38</v>
      </c>
      <c r="BG1078" s="7" t="s">
        <v>1242</v>
      </c>
      <c r="BH1078" s="1" t="s">
        <v>1875</v>
      </c>
      <c r="BI1078" s="2" t="s">
        <v>5612</v>
      </c>
      <c r="BJ1078" s="1" t="s">
        <v>1877</v>
      </c>
      <c r="BK1078" s="2" t="s">
        <v>5613</v>
      </c>
    </row>
    <row r="1079" spans="1:71" ht="216" x14ac:dyDescent="0.45">
      <c r="A1079" s="5">
        <v>1078</v>
      </c>
      <c r="B1079" s="8" t="s">
        <v>817</v>
      </c>
      <c r="C1079" s="6" t="s">
        <v>6851</v>
      </c>
      <c r="D1079" s="7" t="s">
        <v>9794</v>
      </c>
      <c r="E1079" s="1" t="s">
        <v>5614</v>
      </c>
      <c r="F1079" s="1" t="s">
        <v>5615</v>
      </c>
      <c r="G1079" s="1"/>
      <c r="J1079" s="1" t="s">
        <v>9795</v>
      </c>
      <c r="L1079" s="3" t="s">
        <v>10505</v>
      </c>
      <c r="P1079" s="7" t="s">
        <v>1241</v>
      </c>
      <c r="Q1079" s="13" t="str">
        <f>INDEX($L:$L, MATCH("virtual", $B:$B, 0))</f>
        <v>&lt;span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v>
      </c>
      <c r="AU1079" s="15"/>
      <c r="AV1079" s="1" t="s">
        <v>38</v>
      </c>
      <c r="BG1079" s="7" t="s">
        <v>1242</v>
      </c>
      <c r="BH1079" s="1" t="s">
        <v>1947</v>
      </c>
      <c r="BI1079" s="2" t="s">
        <v>5616</v>
      </c>
      <c r="BJ1079" s="1" t="s">
        <v>1959</v>
      </c>
      <c r="BK1079" s="2" t="s">
        <v>5617</v>
      </c>
      <c r="BL1079" s="1" t="s">
        <v>1875</v>
      </c>
      <c r="BM1079" s="2" t="s">
        <v>5618</v>
      </c>
    </row>
    <row r="1080" spans="1:71" ht="162" x14ac:dyDescent="0.45">
      <c r="A1080" s="5">
        <v>1079</v>
      </c>
      <c r="B1080" s="6" t="s">
        <v>818</v>
      </c>
      <c r="C1080" s="6" t="s">
        <v>6852</v>
      </c>
      <c r="D1080" s="7" t="s">
        <v>9794</v>
      </c>
      <c r="E1080" s="1" t="s">
        <v>5619</v>
      </c>
      <c r="F1080" s="1" t="s">
        <v>1821</v>
      </c>
      <c r="G1080" s="1"/>
      <c r="J1080" s="1" t="s">
        <v>9795</v>
      </c>
      <c r="K1080" s="1" t="s">
        <v>9512</v>
      </c>
      <c r="L1080" s="2" t="s">
        <v>9513</v>
      </c>
      <c r="P1080" s="7" t="s">
        <v>1241</v>
      </c>
      <c r="AV1080" s="1" t="s">
        <v>38</v>
      </c>
      <c r="BG1080" s="7" t="s">
        <v>1242</v>
      </c>
      <c r="BH1080" s="1" t="s">
        <v>1947</v>
      </c>
      <c r="BI1080" s="1" t="s">
        <v>5620</v>
      </c>
      <c r="BJ1080" s="1" t="s">
        <v>1875</v>
      </c>
      <c r="BK1080" s="2" t="s">
        <v>5621</v>
      </c>
      <c r="BL1080" s="1" t="s">
        <v>1877</v>
      </c>
      <c r="BM1080" s="2" t="s">
        <v>5622</v>
      </c>
    </row>
    <row r="1081" spans="1:71" ht="162" x14ac:dyDescent="0.45">
      <c r="A1081" s="5">
        <v>1080</v>
      </c>
      <c r="B1081" s="8" t="s">
        <v>819</v>
      </c>
      <c r="C1081" s="6" t="s">
        <v>6852</v>
      </c>
      <c r="D1081" s="7" t="s">
        <v>9794</v>
      </c>
      <c r="E1081" s="1" t="s">
        <v>4142</v>
      </c>
      <c r="F1081" s="1" t="s">
        <v>1853</v>
      </c>
      <c r="G1081" s="1"/>
      <c r="J1081" s="1" t="s">
        <v>9795</v>
      </c>
      <c r="L1081" s="3" t="s">
        <v>9514</v>
      </c>
      <c r="M1081" s="1" t="s">
        <v>12188</v>
      </c>
      <c r="P1081" s="7" t="s">
        <v>1241</v>
      </c>
      <c r="Q1081" s="13"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1081" s="13"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1081" s="13"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1081" s="13"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U1081" s="13"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AU1081" s="15"/>
      <c r="AV1081" s="1" t="s">
        <v>38</v>
      </c>
      <c r="BG1081" s="7" t="s">
        <v>1242</v>
      </c>
      <c r="BH1081" s="1" t="s">
        <v>1947</v>
      </c>
      <c r="BI1081" s="2" t="s">
        <v>5623</v>
      </c>
      <c r="BJ1081" s="1" t="s">
        <v>1996</v>
      </c>
      <c r="BK1081" s="2" t="s">
        <v>5624</v>
      </c>
      <c r="BL1081" s="1" t="s">
        <v>1877</v>
      </c>
      <c r="BM1081" s="2" t="s">
        <v>5625</v>
      </c>
    </row>
    <row r="1082" spans="1:71" ht="144" x14ac:dyDescent="0.45">
      <c r="A1082" s="5">
        <v>1081</v>
      </c>
      <c r="B1082" s="8" t="s">
        <v>820</v>
      </c>
      <c r="C1082" s="6" t="s">
        <v>6852</v>
      </c>
      <c r="D1082" s="7" t="s">
        <v>9794</v>
      </c>
      <c r="E1082" s="1" t="s">
        <v>1454</v>
      </c>
      <c r="F1082" s="1" t="s">
        <v>5626</v>
      </c>
      <c r="G1082" s="1" t="s">
        <v>1818</v>
      </c>
      <c r="J1082" s="1" t="s">
        <v>9795</v>
      </c>
      <c r="K1082" s="2" t="s">
        <v>9515</v>
      </c>
      <c r="L1082" s="3" t="s">
        <v>9516</v>
      </c>
      <c r="P1082" s="7" t="s">
        <v>1241</v>
      </c>
      <c r="AU1082" s="15"/>
      <c r="AV1082" s="1" t="s">
        <v>38</v>
      </c>
      <c r="BG1082" s="7" t="s">
        <v>1242</v>
      </c>
      <c r="BH1082" s="1" t="s">
        <v>1947</v>
      </c>
      <c r="BI1082" s="2" t="s">
        <v>5627</v>
      </c>
      <c r="BJ1082" s="1" t="s">
        <v>1877</v>
      </c>
      <c r="BK1082" s="2" t="s">
        <v>5628</v>
      </c>
    </row>
    <row r="1083" spans="1:71" ht="90" x14ac:dyDescent="0.45">
      <c r="A1083" s="5">
        <v>1082</v>
      </c>
      <c r="B1083" s="8" t="s">
        <v>821</v>
      </c>
      <c r="C1083" s="6" t="s">
        <v>6852</v>
      </c>
      <c r="D1083" s="7" t="s">
        <v>9794</v>
      </c>
      <c r="E1083" s="1" t="s">
        <v>5629</v>
      </c>
      <c r="F1083" s="1" t="s">
        <v>1818</v>
      </c>
      <c r="G1083" s="1"/>
      <c r="J1083" s="1" t="s">
        <v>9795</v>
      </c>
      <c r="K1083" s="1" t="s">
        <v>9517</v>
      </c>
      <c r="L1083" s="2" t="s">
        <v>9518</v>
      </c>
      <c r="M1083" s="1" t="s">
        <v>12219</v>
      </c>
      <c r="P1083" s="7" t="s">
        <v>1241</v>
      </c>
      <c r="Q1083" s="13"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R1083" s="13"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S1083" s="13"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T1083" s="13"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U1083" s="13"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AU1083" s="15"/>
      <c r="AV1083" s="1" t="s">
        <v>38</v>
      </c>
      <c r="BG1083" s="7" t="s">
        <v>1242</v>
      </c>
      <c r="BH1083" s="1" t="s">
        <v>1947</v>
      </c>
      <c r="BI1083" s="2" t="s">
        <v>5630</v>
      </c>
      <c r="BJ1083" s="1" t="s">
        <v>1875</v>
      </c>
      <c r="BK1083" s="2" t="s">
        <v>5631</v>
      </c>
      <c r="BL1083" s="1" t="s">
        <v>1877</v>
      </c>
      <c r="BM1083" s="2" t="s">
        <v>5632</v>
      </c>
    </row>
    <row r="1084" spans="1:71" ht="144" x14ac:dyDescent="0.45">
      <c r="A1084" s="5">
        <v>1083</v>
      </c>
      <c r="B1084" s="6" t="s">
        <v>822</v>
      </c>
      <c r="C1084" s="6" t="s">
        <v>6852</v>
      </c>
      <c r="D1084" s="7" t="s">
        <v>9794</v>
      </c>
      <c r="E1084" s="1" t="s">
        <v>5633</v>
      </c>
      <c r="F1084" s="1" t="s">
        <v>1551</v>
      </c>
      <c r="G1084" s="1"/>
      <c r="J1084" s="1" t="s">
        <v>9795</v>
      </c>
      <c r="L1084" s="2" t="s">
        <v>9519</v>
      </c>
      <c r="P1084" s="7" t="s">
        <v>1241</v>
      </c>
      <c r="AU1084" s="15"/>
      <c r="AV1084" s="1" t="s">
        <v>38</v>
      </c>
      <c r="BG1084" s="7" t="s">
        <v>1242</v>
      </c>
      <c r="BH1084" s="1" t="s">
        <v>2458</v>
      </c>
      <c r="BI1084" s="2" t="s">
        <v>5634</v>
      </c>
      <c r="BJ1084" s="1" t="s">
        <v>1996</v>
      </c>
      <c r="BK1084" s="1" t="s">
        <v>5635</v>
      </c>
      <c r="BL1084" s="1" t="s">
        <v>1877</v>
      </c>
      <c r="BM1084" s="2" t="s">
        <v>5636</v>
      </c>
    </row>
    <row r="1085" spans="1:71" ht="144" x14ac:dyDescent="0.45">
      <c r="A1085" s="5">
        <v>1084</v>
      </c>
      <c r="B1085" s="6" t="s">
        <v>823</v>
      </c>
      <c r="C1085" s="6" t="s">
        <v>6852</v>
      </c>
      <c r="D1085" s="7" t="s">
        <v>9794</v>
      </c>
      <c r="E1085" s="6" t="s">
        <v>823</v>
      </c>
      <c r="F1085" s="1"/>
      <c r="G1085" s="1"/>
      <c r="J1085" s="1" t="s">
        <v>9795</v>
      </c>
      <c r="L1085" s="2" t="s">
        <v>9520</v>
      </c>
      <c r="P1085" s="7" t="s">
        <v>1241</v>
      </c>
      <c r="AV1085" s="1" t="s">
        <v>38</v>
      </c>
      <c r="BG1085" s="7" t="s">
        <v>1242</v>
      </c>
      <c r="BH1085" s="1" t="s">
        <v>1994</v>
      </c>
      <c r="BI1085" s="1" t="s">
        <v>5637</v>
      </c>
      <c r="BJ1085" s="1" t="s">
        <v>1996</v>
      </c>
      <c r="BK1085" s="1" t="s">
        <v>5638</v>
      </c>
      <c r="BL1085" s="1" t="s">
        <v>1875</v>
      </c>
      <c r="BM1085" s="2" t="s">
        <v>5639</v>
      </c>
    </row>
    <row r="1086" spans="1:71" ht="144" x14ac:dyDescent="0.45">
      <c r="A1086" s="5">
        <v>1085</v>
      </c>
      <c r="B1086" s="6" t="s">
        <v>824</v>
      </c>
      <c r="C1086" s="6" t="s">
        <v>6852</v>
      </c>
      <c r="D1086" s="7" t="s">
        <v>9794</v>
      </c>
      <c r="E1086" s="1" t="s">
        <v>5640</v>
      </c>
      <c r="F1086" s="1" t="s">
        <v>1931</v>
      </c>
      <c r="G1086" s="1"/>
      <c r="J1086" s="1" t="s">
        <v>9795</v>
      </c>
      <c r="K1086" s="1" t="s">
        <v>5641</v>
      </c>
      <c r="L1086" s="3" t="s">
        <v>9521</v>
      </c>
      <c r="P1086" s="7" t="s">
        <v>1241</v>
      </c>
      <c r="AU1086" s="15"/>
      <c r="AV1086" s="1" t="s">
        <v>38</v>
      </c>
      <c r="BG1086" s="7" t="s">
        <v>1242</v>
      </c>
      <c r="BH1086" s="1" t="s">
        <v>2458</v>
      </c>
      <c r="BI1086" s="2" t="s">
        <v>9522</v>
      </c>
      <c r="BJ1086" s="1" t="s">
        <v>1947</v>
      </c>
      <c r="BK1086" s="1" t="s">
        <v>5642</v>
      </c>
      <c r="BL1086" s="1" t="s">
        <v>2026</v>
      </c>
      <c r="BM1086" s="2" t="s">
        <v>5643</v>
      </c>
      <c r="BN1086" s="1" t="s">
        <v>1994</v>
      </c>
      <c r="BO1086" s="1" t="s">
        <v>5644</v>
      </c>
      <c r="BP1086" s="1" t="s">
        <v>1996</v>
      </c>
      <c r="BQ1086" s="2" t="s">
        <v>5645</v>
      </c>
      <c r="BR1086" s="1" t="s">
        <v>1877</v>
      </c>
      <c r="BS1086" s="2" t="s">
        <v>5646</v>
      </c>
    </row>
    <row r="1087" spans="1:71" ht="198" x14ac:dyDescent="0.45">
      <c r="A1087" s="5">
        <v>1086</v>
      </c>
      <c r="B1087" s="6" t="s">
        <v>825</v>
      </c>
      <c r="C1087" s="6" t="s">
        <v>6852</v>
      </c>
      <c r="D1087" s="7" t="s">
        <v>9794</v>
      </c>
      <c r="E1087" s="1" t="s">
        <v>5647</v>
      </c>
      <c r="F1087" s="1" t="s">
        <v>5648</v>
      </c>
      <c r="G1087" s="1"/>
      <c r="J1087" s="1" t="s">
        <v>9795</v>
      </c>
      <c r="K1087" s="2" t="s">
        <v>9523</v>
      </c>
      <c r="L1087" s="2" t="s">
        <v>9524</v>
      </c>
      <c r="P1087" s="7" t="s">
        <v>1241</v>
      </c>
      <c r="AU1087" s="15"/>
      <c r="AV1087" s="1" t="s">
        <v>38</v>
      </c>
      <c r="BG1087" s="7" t="s">
        <v>1242</v>
      </c>
      <c r="BH1087" s="1" t="s">
        <v>1947</v>
      </c>
      <c r="BI1087" s="2" t="s">
        <v>5649</v>
      </c>
      <c r="BJ1087" s="1" t="s">
        <v>1877</v>
      </c>
      <c r="BK1087" s="2" t="s">
        <v>5650</v>
      </c>
    </row>
    <row r="1088" spans="1:71" ht="126" x14ac:dyDescent="0.45">
      <c r="A1088" s="5">
        <v>1087</v>
      </c>
      <c r="B1088" s="6" t="s">
        <v>826</v>
      </c>
      <c r="C1088" s="6" t="s">
        <v>6852</v>
      </c>
      <c r="D1088" s="7" t="s">
        <v>9794</v>
      </c>
      <c r="E1088" s="1" t="s">
        <v>1695</v>
      </c>
      <c r="F1088" s="1" t="s">
        <v>49</v>
      </c>
      <c r="G1088" s="1"/>
      <c r="J1088" s="1" t="s">
        <v>9795</v>
      </c>
      <c r="L1088" s="2" t="s">
        <v>9525</v>
      </c>
      <c r="P1088" s="7" t="s">
        <v>1241</v>
      </c>
      <c r="AV1088" s="1" t="s">
        <v>38</v>
      </c>
      <c r="BG1088" s="7" t="s">
        <v>1242</v>
      </c>
      <c r="BH1088" s="1" t="s">
        <v>1947</v>
      </c>
      <c r="BI1088" s="1" t="s">
        <v>5651</v>
      </c>
      <c r="BJ1088" s="1" t="s">
        <v>2036</v>
      </c>
      <c r="BK1088" s="2" t="s">
        <v>5652</v>
      </c>
      <c r="BL1088" s="1" t="s">
        <v>1877</v>
      </c>
      <c r="BM1088" s="2" t="s">
        <v>5653</v>
      </c>
    </row>
    <row r="1089" spans="1:67" ht="126" x14ac:dyDescent="0.45">
      <c r="A1089" s="5">
        <v>1088</v>
      </c>
      <c r="B1089" s="6" t="s">
        <v>827</v>
      </c>
      <c r="C1089" s="6" t="s">
        <v>6852</v>
      </c>
      <c r="D1089" s="7" t="s">
        <v>9794</v>
      </c>
      <c r="E1089" s="1" t="s">
        <v>27</v>
      </c>
      <c r="F1089" s="1" t="s">
        <v>5654</v>
      </c>
      <c r="G1089" s="1" t="s">
        <v>1698</v>
      </c>
      <c r="J1089" s="1" t="s">
        <v>9795</v>
      </c>
      <c r="L1089" s="2" t="s">
        <v>9526</v>
      </c>
      <c r="P1089" s="7" t="s">
        <v>1241</v>
      </c>
      <c r="AU1089" s="15"/>
      <c r="AV1089" s="1" t="s">
        <v>38</v>
      </c>
      <c r="BG1089" s="7" t="s">
        <v>1242</v>
      </c>
      <c r="BH1089" s="1" t="s">
        <v>1947</v>
      </c>
      <c r="BI1089" s="2" t="s">
        <v>5655</v>
      </c>
      <c r="BJ1089" s="1" t="s">
        <v>1959</v>
      </c>
      <c r="BK1089" s="2" t="s">
        <v>5656</v>
      </c>
      <c r="BL1089" s="1" t="s">
        <v>1875</v>
      </c>
      <c r="BM1089" s="2" t="s">
        <v>5657</v>
      </c>
    </row>
    <row r="1090" spans="1:67" ht="126" x14ac:dyDescent="0.45">
      <c r="A1090" s="5">
        <v>1089</v>
      </c>
      <c r="B1090" s="8" t="s">
        <v>828</v>
      </c>
      <c r="C1090" s="6" t="s">
        <v>6852</v>
      </c>
      <c r="D1090" s="7" t="s">
        <v>9794</v>
      </c>
      <c r="E1090" s="1" t="s">
        <v>4501</v>
      </c>
      <c r="F1090" s="1" t="s">
        <v>5658</v>
      </c>
      <c r="G1090" s="1" t="s">
        <v>1698</v>
      </c>
      <c r="J1090" s="1" t="s">
        <v>9795</v>
      </c>
      <c r="L1090" s="2" t="s">
        <v>9527</v>
      </c>
      <c r="M1090" s="1" t="s">
        <v>12237</v>
      </c>
      <c r="P1090" s="7" t="s">
        <v>1241</v>
      </c>
      <c r="Q1090" s="13"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R1090" s="13"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S1090" s="13"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T1090" s="13"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AU1090" s="15"/>
      <c r="AV1090" s="1" t="s">
        <v>38</v>
      </c>
      <c r="BG1090" s="7" t="s">
        <v>1242</v>
      </c>
      <c r="BH1090" s="1" t="s">
        <v>1947</v>
      </c>
      <c r="BI1090" s="2" t="s">
        <v>9528</v>
      </c>
      <c r="BJ1090" s="1" t="s">
        <v>1959</v>
      </c>
      <c r="BK1090" s="2" t="s">
        <v>5659</v>
      </c>
      <c r="BL1090" s="1" t="s">
        <v>1875</v>
      </c>
      <c r="BM1090" s="2" t="s">
        <v>5660</v>
      </c>
    </row>
    <row r="1091" spans="1:67" ht="108" x14ac:dyDescent="0.45">
      <c r="A1091" s="5">
        <v>1090</v>
      </c>
      <c r="B1091" s="6" t="s">
        <v>829</v>
      </c>
      <c r="C1091" s="6" t="s">
        <v>6852</v>
      </c>
      <c r="D1091" s="7" t="s">
        <v>9794</v>
      </c>
      <c r="E1091" s="6" t="s">
        <v>829</v>
      </c>
      <c r="F1091" s="1"/>
      <c r="G1091" s="1"/>
      <c r="J1091" s="1" t="s">
        <v>9795</v>
      </c>
      <c r="K1091" s="1" t="s">
        <v>5661</v>
      </c>
      <c r="L1091" s="2" t="s">
        <v>9529</v>
      </c>
      <c r="P1091" s="7" t="s">
        <v>1241</v>
      </c>
      <c r="AU1091" s="15"/>
      <c r="AV1091" s="1" t="s">
        <v>38</v>
      </c>
      <c r="BG1091" s="7" t="s">
        <v>1242</v>
      </c>
      <c r="BH1091" s="1" t="s">
        <v>1875</v>
      </c>
      <c r="BI1091" s="2" t="s">
        <v>5662</v>
      </c>
      <c r="BJ1091" s="1" t="s">
        <v>1877</v>
      </c>
      <c r="BK1091" s="2" t="s">
        <v>5663</v>
      </c>
    </row>
    <row r="1092" spans="1:67" ht="144" x14ac:dyDescent="0.45">
      <c r="A1092" s="5">
        <v>1091</v>
      </c>
      <c r="B1092" s="6" t="s">
        <v>830</v>
      </c>
      <c r="C1092" s="6" t="s">
        <v>6852</v>
      </c>
      <c r="D1092" s="7" t="s">
        <v>9794</v>
      </c>
      <c r="E1092" s="1" t="s">
        <v>27</v>
      </c>
      <c r="F1092" s="1" t="s">
        <v>5664</v>
      </c>
      <c r="G1092" s="1" t="s">
        <v>1698</v>
      </c>
      <c r="J1092" s="1" t="s">
        <v>9795</v>
      </c>
      <c r="L1092" s="2" t="s">
        <v>9530</v>
      </c>
      <c r="M1092" s="1" t="s">
        <v>12169</v>
      </c>
      <c r="P1092" s="7" t="s">
        <v>1241</v>
      </c>
      <c r="Q1092" s="13"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092" s="13"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1092" s="13"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1092" s="13"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1092" s="13"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V1092" s="13"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W1092" s="13"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X1092" s="13"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AU1092" s="15"/>
      <c r="AV1092" s="1" t="s">
        <v>38</v>
      </c>
      <c r="BG1092" s="7" t="s">
        <v>1242</v>
      </c>
      <c r="BH1092" s="1" t="s">
        <v>1947</v>
      </c>
      <c r="BI1092" s="2" t="s">
        <v>5665</v>
      </c>
      <c r="BJ1092" s="1" t="s">
        <v>1959</v>
      </c>
      <c r="BK1092" s="1" t="s">
        <v>5666</v>
      </c>
      <c r="BL1092" s="1" t="s">
        <v>1875</v>
      </c>
      <c r="BM1092" s="2" t="s">
        <v>5667</v>
      </c>
    </row>
    <row r="1093" spans="1:67" ht="252" x14ac:dyDescent="0.45">
      <c r="A1093" s="5">
        <v>1092</v>
      </c>
      <c r="B1093" s="8" t="s">
        <v>831</v>
      </c>
      <c r="C1093" s="6" t="s">
        <v>6852</v>
      </c>
      <c r="D1093" s="7" t="s">
        <v>9794</v>
      </c>
      <c r="E1093" s="1" t="s">
        <v>5668</v>
      </c>
      <c r="F1093" s="1" t="s">
        <v>1695</v>
      </c>
      <c r="G1093" s="1"/>
      <c r="J1093" s="1" t="s">
        <v>9795</v>
      </c>
      <c r="K1093" s="2" t="s">
        <v>9531</v>
      </c>
      <c r="L1093" s="2" t="s">
        <v>12164</v>
      </c>
      <c r="M1093" s="1" t="s">
        <v>12259</v>
      </c>
      <c r="P1093" s="7" t="s">
        <v>1241</v>
      </c>
      <c r="Q1093" s="13"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R1093" s="13"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U1093" s="15"/>
      <c r="AV1093" s="1" t="s">
        <v>38</v>
      </c>
      <c r="BG1093" s="7" t="s">
        <v>1242</v>
      </c>
      <c r="BH1093" s="1" t="s">
        <v>1947</v>
      </c>
      <c r="BI1093" s="2" t="s">
        <v>5669</v>
      </c>
      <c r="BJ1093" s="1" t="s">
        <v>1875</v>
      </c>
      <c r="BK1093" s="2" t="s">
        <v>5670</v>
      </c>
      <c r="BL1093" s="1" t="s">
        <v>1877</v>
      </c>
      <c r="BM1093" s="2" t="s">
        <v>5671</v>
      </c>
    </row>
    <row r="1094" spans="1:67" ht="126" x14ac:dyDescent="0.45">
      <c r="A1094" s="5">
        <v>1093</v>
      </c>
      <c r="B1094" s="6" t="s">
        <v>832</v>
      </c>
      <c r="C1094" s="6" t="s">
        <v>6852</v>
      </c>
      <c r="D1094" s="7" t="s">
        <v>9794</v>
      </c>
      <c r="E1094" s="1" t="s">
        <v>5672</v>
      </c>
      <c r="F1094" s="1" t="s">
        <v>1808</v>
      </c>
      <c r="G1094" s="1"/>
      <c r="J1094" s="1" t="s">
        <v>9795</v>
      </c>
      <c r="K1094" s="1" t="s">
        <v>9532</v>
      </c>
      <c r="L1094" s="2" t="s">
        <v>9533</v>
      </c>
      <c r="P1094" s="7" t="s">
        <v>1241</v>
      </c>
      <c r="AU1094" s="15"/>
      <c r="AV1094" s="1" t="s">
        <v>38</v>
      </c>
      <c r="BG1094" s="7" t="s">
        <v>1242</v>
      </c>
      <c r="BH1094" s="1" t="s">
        <v>1875</v>
      </c>
      <c r="BI1094" s="2" t="s">
        <v>5673</v>
      </c>
      <c r="BJ1094" s="1" t="s">
        <v>1877</v>
      </c>
      <c r="BK1094" s="2" t="s">
        <v>5674</v>
      </c>
    </row>
    <row r="1095" spans="1:67" ht="126" x14ac:dyDescent="0.45">
      <c r="A1095" s="5">
        <v>1094</v>
      </c>
      <c r="B1095" s="6" t="s">
        <v>833</v>
      </c>
      <c r="C1095" s="6" t="s">
        <v>6852</v>
      </c>
      <c r="D1095" s="7" t="s">
        <v>9794</v>
      </c>
      <c r="E1095" s="6" t="s">
        <v>833</v>
      </c>
      <c r="F1095" s="1"/>
      <c r="G1095" s="1"/>
      <c r="J1095" s="1" t="s">
        <v>9795</v>
      </c>
      <c r="K1095" s="2" t="s">
        <v>9534</v>
      </c>
      <c r="L1095" s="2" t="s">
        <v>9535</v>
      </c>
      <c r="P1095" s="7" t="s">
        <v>1241</v>
      </c>
      <c r="AU1095" s="15"/>
      <c r="AV1095" s="1" t="s">
        <v>38</v>
      </c>
      <c r="BG1095" s="7" t="s">
        <v>1242</v>
      </c>
      <c r="BH1095" s="1" t="s">
        <v>1947</v>
      </c>
      <c r="BI1095" s="2" t="s">
        <v>5675</v>
      </c>
      <c r="BJ1095" s="1" t="s">
        <v>1877</v>
      </c>
      <c r="BK1095" s="2" t="s">
        <v>5676</v>
      </c>
    </row>
    <row r="1096" spans="1:67" ht="108" x14ac:dyDescent="0.45">
      <c r="A1096" s="5">
        <v>1095</v>
      </c>
      <c r="B1096" s="8" t="s">
        <v>834</v>
      </c>
      <c r="C1096" s="6" t="s">
        <v>6852</v>
      </c>
      <c r="D1096" s="7" t="s">
        <v>9794</v>
      </c>
      <c r="E1096" s="1" t="s">
        <v>1338</v>
      </c>
      <c r="F1096" s="1" t="s">
        <v>5677</v>
      </c>
      <c r="G1096" s="1" t="s">
        <v>1931</v>
      </c>
      <c r="J1096" s="1" t="s">
        <v>9795</v>
      </c>
      <c r="L1096" s="2" t="s">
        <v>9536</v>
      </c>
      <c r="M1096" s="1" t="s">
        <v>12200</v>
      </c>
      <c r="P1096" s="7" t="s">
        <v>1241</v>
      </c>
      <c r="Q1096" s="13"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096" s="13"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1096" s="13"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1096" s="13"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U1096" s="13"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V1096" s="13"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W1096" s="13"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X1096" s="13"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AV1096" s="1" t="s">
        <v>38</v>
      </c>
      <c r="BG1096" s="7" t="s">
        <v>1242</v>
      </c>
      <c r="BH1096" s="1" t="s">
        <v>1976</v>
      </c>
      <c r="BI1096" s="1" t="s">
        <v>4845</v>
      </c>
      <c r="BJ1096" s="1" t="s">
        <v>1947</v>
      </c>
      <c r="BK1096" s="2" t="s">
        <v>5678</v>
      </c>
      <c r="BL1096" s="1" t="s">
        <v>1875</v>
      </c>
      <c r="BM1096" s="2" t="s">
        <v>5679</v>
      </c>
    </row>
    <row r="1097" spans="1:67" ht="162" x14ac:dyDescent="0.45">
      <c r="A1097" s="5">
        <v>1096</v>
      </c>
      <c r="B1097" s="6" t="s">
        <v>835</v>
      </c>
      <c r="C1097" s="6" t="s">
        <v>6852</v>
      </c>
      <c r="D1097" s="7" t="s">
        <v>9794</v>
      </c>
      <c r="E1097" s="1" t="s">
        <v>27</v>
      </c>
      <c r="F1097" s="1" t="s">
        <v>5680</v>
      </c>
      <c r="G1097" s="1"/>
      <c r="J1097" s="1" t="s">
        <v>9795</v>
      </c>
      <c r="L1097" s="2" t="s">
        <v>12154</v>
      </c>
      <c r="P1097" s="7" t="s">
        <v>1241</v>
      </c>
      <c r="Q1097" s="13" t="str">
        <f>INDEX($L:$L, MATCH("internal", $B:$B, 0))</f>
        <v>&lt;span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v>
      </c>
      <c r="R1097" s="13" t="str">
        <f>INDEX($L:$L, MATCH("interior", $B:$B, 0))</f>
        <v>&lt;span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v>
      </c>
      <c r="S1097" s="13" t="str">
        <f>INDEX($L:$L, MATCH("ultimate", $B:$B, 0))</f>
        <v>&lt;span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v>
      </c>
      <c r="AU1097" s="15"/>
      <c r="AV1097" s="1" t="s">
        <v>38</v>
      </c>
      <c r="BG1097" s="7" t="s">
        <v>1242</v>
      </c>
      <c r="BH1097" s="1" t="s">
        <v>1947</v>
      </c>
      <c r="BI1097" s="2" t="s">
        <v>9537</v>
      </c>
      <c r="BJ1097" s="1" t="s">
        <v>2036</v>
      </c>
      <c r="BK1097" s="2" t="s">
        <v>5681</v>
      </c>
      <c r="BL1097" s="1" t="s">
        <v>1877</v>
      </c>
      <c r="BM1097" s="2" t="s">
        <v>5682</v>
      </c>
    </row>
    <row r="1098" spans="1:67" ht="162" x14ac:dyDescent="0.45">
      <c r="A1098" s="5">
        <v>1097</v>
      </c>
      <c r="B1098" s="8" t="s">
        <v>836</v>
      </c>
      <c r="C1098" s="6" t="s">
        <v>6852</v>
      </c>
      <c r="D1098" s="7" t="s">
        <v>9794</v>
      </c>
      <c r="E1098" s="1" t="s">
        <v>5683</v>
      </c>
      <c r="F1098" s="1" t="s">
        <v>5684</v>
      </c>
      <c r="G1098" s="1" t="s">
        <v>49</v>
      </c>
      <c r="J1098" s="1" t="s">
        <v>9795</v>
      </c>
      <c r="L1098" s="2" t="s">
        <v>9538</v>
      </c>
      <c r="M1098" s="1" t="s">
        <v>12217</v>
      </c>
      <c r="P1098" s="7" t="s">
        <v>1241</v>
      </c>
      <c r="Q1098" s="13" t="str">
        <f>INDEX($L:$L, MATCH("medium", $B:$B, 0))</f>
        <v>&lt;span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v>
      </c>
      <c r="R1098" s="13" t="str">
        <f>INDEX($L:$L, MATCH("immediate", $B:$B, 0))</f>
        <v>&lt;span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v>
      </c>
      <c r="S1098" s="13" t="str">
        <f>INDEX($L:$L, MATCH("means", $B:$B, 0))</f>
        <v>&lt;span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v>
      </c>
      <c r="AU1098" s="15"/>
      <c r="AV1098" s="1" t="s">
        <v>38</v>
      </c>
      <c r="BG1098" s="7" t="s">
        <v>1242</v>
      </c>
      <c r="BH1098" s="1" t="s">
        <v>1877</v>
      </c>
      <c r="BI1098" s="2" t="s">
        <v>5685</v>
      </c>
    </row>
    <row r="1099" spans="1:67" ht="126" x14ac:dyDescent="0.45">
      <c r="A1099" s="5">
        <v>1098</v>
      </c>
      <c r="B1099" s="8" t="s">
        <v>837</v>
      </c>
      <c r="C1099" s="6" t="s">
        <v>6852</v>
      </c>
      <c r="D1099" s="7" t="s">
        <v>9794</v>
      </c>
      <c r="E1099" s="1" t="s">
        <v>5686</v>
      </c>
      <c r="F1099" s="1" t="s">
        <v>1920</v>
      </c>
      <c r="G1099" s="1"/>
      <c r="J1099" s="1" t="s">
        <v>9795</v>
      </c>
      <c r="K1099" s="2" t="s">
        <v>9539</v>
      </c>
      <c r="L1099" s="3" t="s">
        <v>9540</v>
      </c>
      <c r="P1099" s="7" t="s">
        <v>1241</v>
      </c>
      <c r="Q1099" s="13"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AU1099" s="15"/>
      <c r="AV1099" s="1" t="s">
        <v>38</v>
      </c>
      <c r="BG1099" s="7" t="s">
        <v>1242</v>
      </c>
      <c r="BH1099" s="1" t="s">
        <v>1947</v>
      </c>
      <c r="BI1099" s="2" t="s">
        <v>5687</v>
      </c>
      <c r="BJ1099" s="1" t="s">
        <v>1959</v>
      </c>
      <c r="BK1099" s="3" t="s">
        <v>8765</v>
      </c>
      <c r="BL1099" s="1" t="s">
        <v>1875</v>
      </c>
      <c r="BM1099" s="2" t="s">
        <v>5688</v>
      </c>
      <c r="BN1099" s="1" t="s">
        <v>1877</v>
      </c>
      <c r="BO1099" s="2" t="s">
        <v>5689</v>
      </c>
    </row>
    <row r="1100" spans="1:67" ht="180" x14ac:dyDescent="0.45">
      <c r="A1100" s="5">
        <v>1099</v>
      </c>
      <c r="B1100" s="8" t="s">
        <v>838</v>
      </c>
      <c r="C1100" s="6" t="s">
        <v>6854</v>
      </c>
      <c r="D1100" s="7" t="s">
        <v>9794</v>
      </c>
      <c r="E1100" s="1" t="s">
        <v>5690</v>
      </c>
      <c r="F1100" s="1" t="s">
        <v>5691</v>
      </c>
      <c r="G1100" s="1" t="s">
        <v>1457</v>
      </c>
      <c r="J1100" s="1" t="s">
        <v>9795</v>
      </c>
      <c r="K1100" s="1" t="s">
        <v>5692</v>
      </c>
      <c r="L1100" s="2" t="s">
        <v>9541</v>
      </c>
      <c r="M1100" s="1" t="s">
        <v>12197</v>
      </c>
      <c r="P1100" s="7" t="s">
        <v>1241</v>
      </c>
      <c r="Q1100" s="13"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R1100" s="13"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S1100" s="13"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AV1100" s="1" t="s">
        <v>38</v>
      </c>
      <c r="BG1100" s="7" t="s">
        <v>1242</v>
      </c>
      <c r="BH1100" s="1" t="s">
        <v>1947</v>
      </c>
      <c r="BI1100" s="1" t="s">
        <v>5693</v>
      </c>
      <c r="BJ1100" s="1" t="s">
        <v>2036</v>
      </c>
      <c r="BK1100" s="2" t="s">
        <v>5694</v>
      </c>
      <c r="BL1100" s="1" t="s">
        <v>1967</v>
      </c>
      <c r="BM1100" s="2" t="s">
        <v>5695</v>
      </c>
      <c r="BN1100" s="1" t="s">
        <v>1877</v>
      </c>
      <c r="BO1100" s="2" t="s">
        <v>5696</v>
      </c>
    </row>
    <row r="1101" spans="1:67" ht="90" x14ac:dyDescent="0.45">
      <c r="A1101" s="5">
        <v>1100</v>
      </c>
      <c r="B1101" s="8" t="s">
        <v>839</v>
      </c>
      <c r="C1101" s="6" t="s">
        <v>6853</v>
      </c>
      <c r="D1101" s="7" t="s">
        <v>9794</v>
      </c>
      <c r="E1101" s="1" t="s">
        <v>839</v>
      </c>
      <c r="F1101" s="1"/>
      <c r="G1101" s="1"/>
      <c r="J1101" s="1" t="s">
        <v>9795</v>
      </c>
      <c r="L1101" s="2" t="s">
        <v>9542</v>
      </c>
      <c r="M1101" s="1" t="s">
        <v>12240</v>
      </c>
      <c r="P1101" s="7" t="s">
        <v>1241</v>
      </c>
      <c r="Q1101"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101"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1101"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1101"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1101"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1101"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W1101"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X1101"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Y1101"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1101"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1101" s="15"/>
      <c r="AV1101" s="1" t="s">
        <v>38</v>
      </c>
      <c r="BG1101" s="7" t="s">
        <v>1242</v>
      </c>
      <c r="BH1101" s="1" t="s">
        <v>1947</v>
      </c>
      <c r="BI1101" s="2" t="s">
        <v>5697</v>
      </c>
      <c r="BJ1101" s="1" t="s">
        <v>1875</v>
      </c>
      <c r="BK1101" s="2" t="s">
        <v>5698</v>
      </c>
    </row>
    <row r="1102" spans="1:67" ht="126" x14ac:dyDescent="0.45">
      <c r="A1102" s="5">
        <v>1101</v>
      </c>
      <c r="B1102" s="8" t="s">
        <v>840</v>
      </c>
      <c r="C1102" s="6" t="s">
        <v>1816</v>
      </c>
      <c r="D1102" s="7" t="s">
        <v>9794</v>
      </c>
      <c r="E1102" s="1" t="s">
        <v>31</v>
      </c>
      <c r="F1102" s="1" t="s">
        <v>5057</v>
      </c>
      <c r="G1102" s="1"/>
      <c r="J1102" s="1" t="s">
        <v>9795</v>
      </c>
      <c r="K1102" s="1" t="s">
        <v>9543</v>
      </c>
      <c r="L1102" s="2" t="s">
        <v>9544</v>
      </c>
      <c r="M1102" s="1" t="s">
        <v>12223</v>
      </c>
      <c r="P1102" s="7" t="s">
        <v>1241</v>
      </c>
      <c r="Q1102"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102"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S1102"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T1102"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U1102"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V1102"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1102"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102"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1102"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102"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102" s="15"/>
      <c r="AV1102" s="1" t="s">
        <v>38</v>
      </c>
      <c r="BG1102" s="7" t="s">
        <v>1242</v>
      </c>
      <c r="BH1102" s="1" t="s">
        <v>1947</v>
      </c>
      <c r="BI1102" s="2" t="s">
        <v>5699</v>
      </c>
      <c r="BJ1102" s="1" t="s">
        <v>1504</v>
      </c>
      <c r="BK1102" s="2" t="s">
        <v>5700</v>
      </c>
      <c r="BL1102" s="1" t="s">
        <v>2044</v>
      </c>
      <c r="BM1102" s="2" t="s">
        <v>5701</v>
      </c>
    </row>
    <row r="1103" spans="1:67" ht="216" x14ac:dyDescent="0.45">
      <c r="A1103" s="5">
        <v>1102</v>
      </c>
      <c r="B1103" s="6" t="s">
        <v>5702</v>
      </c>
      <c r="C1103" s="6" t="s">
        <v>1816</v>
      </c>
      <c r="D1103" s="7" t="s">
        <v>9794</v>
      </c>
      <c r="E1103" s="1" t="s">
        <v>841</v>
      </c>
      <c r="F1103" s="1"/>
      <c r="G1103" s="1"/>
      <c r="J1103" s="1" t="s">
        <v>9795</v>
      </c>
      <c r="K1103" s="2" t="s">
        <v>9545</v>
      </c>
      <c r="L1103" s="3" t="s">
        <v>9546</v>
      </c>
      <c r="P1103" s="7" t="s">
        <v>1241</v>
      </c>
      <c r="Q1103" s="13" t="str">
        <f>INDEX($L:$L, MATCH("origin", $B:$B, 0))</f>
        <v>&lt;span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v>
      </c>
      <c r="R1103" s="13" t="str">
        <f>INDEX($L:$L, MATCH("aboriginal", $B:$B, 0))</f>
        <v>&lt;span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v>
      </c>
      <c r="AU1103" s="15"/>
      <c r="AV1103" s="1" t="s">
        <v>38</v>
      </c>
      <c r="BG1103" s="7" t="s">
        <v>1242</v>
      </c>
      <c r="BH1103" s="1" t="s">
        <v>1947</v>
      </c>
      <c r="BI1103" s="2" t="s">
        <v>5703</v>
      </c>
      <c r="BJ1103" s="1" t="s">
        <v>1504</v>
      </c>
      <c r="BK1103" s="2" t="s">
        <v>5704</v>
      </c>
      <c r="BL1103" s="1" t="s">
        <v>2017</v>
      </c>
      <c r="BM1103" s="1" t="s">
        <v>5705</v>
      </c>
      <c r="BN1103" s="1" t="s">
        <v>1883</v>
      </c>
      <c r="BO1103" s="2" t="s">
        <v>5706</v>
      </c>
    </row>
    <row r="1104" spans="1:67" ht="126" x14ac:dyDescent="0.45">
      <c r="A1104" s="5">
        <v>1103</v>
      </c>
      <c r="B1104" s="6" t="s">
        <v>5707</v>
      </c>
      <c r="C1104" s="6" t="s">
        <v>1816</v>
      </c>
      <c r="D1104" s="7" t="s">
        <v>9794</v>
      </c>
      <c r="E1104" s="1" t="s">
        <v>842</v>
      </c>
      <c r="F1104" s="1"/>
      <c r="G1104" s="1"/>
      <c r="J1104" s="1" t="s">
        <v>9795</v>
      </c>
      <c r="K1104" s="1" t="s">
        <v>5708</v>
      </c>
      <c r="L1104" s="2" t="s">
        <v>9547</v>
      </c>
      <c r="P1104" s="7" t="s">
        <v>1241</v>
      </c>
      <c r="AU1104" s="15"/>
      <c r="AV1104" s="1" t="s">
        <v>38</v>
      </c>
      <c r="BG1104" s="7" t="s">
        <v>1242</v>
      </c>
      <c r="BH1104" s="1" t="s">
        <v>1883</v>
      </c>
      <c r="BI1104" s="2" t="s">
        <v>5709</v>
      </c>
      <c r="BJ1104" s="1" t="s">
        <v>4072</v>
      </c>
      <c r="BK1104" s="2" t="s">
        <v>5710</v>
      </c>
    </row>
    <row r="1105" spans="1:69" ht="108" x14ac:dyDescent="0.45">
      <c r="A1105" s="5">
        <v>1104</v>
      </c>
      <c r="B1105" s="6" t="s">
        <v>843</v>
      </c>
      <c r="C1105" s="6" t="s">
        <v>1816</v>
      </c>
      <c r="D1105" s="7" t="s">
        <v>9794</v>
      </c>
      <c r="E1105" s="6" t="s">
        <v>843</v>
      </c>
      <c r="F1105" s="1"/>
      <c r="G1105" s="1"/>
      <c r="J1105" s="1" t="s">
        <v>9795</v>
      </c>
      <c r="L1105" s="2" t="s">
        <v>9548</v>
      </c>
      <c r="P1105" s="7" t="s">
        <v>1241</v>
      </c>
      <c r="AU1105" s="15"/>
      <c r="AV1105" s="1" t="s">
        <v>38</v>
      </c>
      <c r="BG1105" s="7" t="s">
        <v>1242</v>
      </c>
      <c r="BH1105" s="1" t="s">
        <v>1967</v>
      </c>
      <c r="BI1105" s="2" t="s">
        <v>5711</v>
      </c>
      <c r="BJ1105" s="1" t="s">
        <v>1959</v>
      </c>
      <c r="BK1105" s="2" t="s">
        <v>5712</v>
      </c>
      <c r="BL1105" s="1" t="s">
        <v>1877</v>
      </c>
      <c r="BM1105" s="2" t="s">
        <v>5713</v>
      </c>
    </row>
    <row r="1106" spans="1:69" ht="108" x14ac:dyDescent="0.45">
      <c r="A1106" s="5">
        <v>1105</v>
      </c>
      <c r="B1106" s="6" t="s">
        <v>844</v>
      </c>
      <c r="C1106" s="6" t="s">
        <v>1816</v>
      </c>
      <c r="D1106" s="7" t="s">
        <v>9794</v>
      </c>
      <c r="E1106" s="6" t="s">
        <v>844</v>
      </c>
      <c r="F1106" s="1"/>
      <c r="G1106" s="1"/>
      <c r="J1106" s="1" t="s">
        <v>9795</v>
      </c>
      <c r="L1106" s="2" t="s">
        <v>9549</v>
      </c>
      <c r="P1106" s="7" t="s">
        <v>1241</v>
      </c>
      <c r="Q1106" s="13" t="str">
        <f>INDEX($L:$L, MATCH("bond", $B:$B, 0))</f>
        <v>&lt;span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v>
      </c>
      <c r="AV1106" s="1" t="s">
        <v>38</v>
      </c>
      <c r="BG1106" s="7" t="s">
        <v>1242</v>
      </c>
      <c r="BH1106" s="1" t="s">
        <v>1872</v>
      </c>
      <c r="BI1106" s="1" t="s">
        <v>5714</v>
      </c>
      <c r="BJ1106" s="1" t="s">
        <v>1875</v>
      </c>
      <c r="BK1106" s="2" t="s">
        <v>5715</v>
      </c>
      <c r="BL1106" s="1" t="s">
        <v>1877</v>
      </c>
      <c r="BM1106" s="2" t="s">
        <v>5716</v>
      </c>
    </row>
    <row r="1107" spans="1:69" ht="198" x14ac:dyDescent="0.45">
      <c r="A1107" s="5">
        <v>1106</v>
      </c>
      <c r="B1107" s="6" t="s">
        <v>845</v>
      </c>
      <c r="C1107" s="6" t="s">
        <v>1816</v>
      </c>
      <c r="D1107" s="7" t="s">
        <v>9794</v>
      </c>
      <c r="E1107" s="1" t="s">
        <v>1251</v>
      </c>
      <c r="F1107" s="1" t="s">
        <v>151</v>
      </c>
      <c r="G1107" s="1"/>
      <c r="J1107" s="1" t="s">
        <v>9795</v>
      </c>
      <c r="K1107" s="1" t="s">
        <v>5717</v>
      </c>
      <c r="L1107" s="3" t="s">
        <v>9550</v>
      </c>
      <c r="P1107" s="7" t="s">
        <v>1241</v>
      </c>
      <c r="AU1107" s="15"/>
      <c r="AV1107" s="1" t="s">
        <v>38</v>
      </c>
      <c r="BG1107" s="7" t="s">
        <v>1242</v>
      </c>
      <c r="BH1107" s="1" t="s">
        <v>1947</v>
      </c>
      <c r="BI1107" s="2" t="s">
        <v>5718</v>
      </c>
      <c r="BJ1107" s="1" t="s">
        <v>2026</v>
      </c>
      <c r="BK1107" s="1" t="s">
        <v>5719</v>
      </c>
      <c r="BL1107" s="1" t="s">
        <v>1959</v>
      </c>
      <c r="BM1107" s="2" t="s">
        <v>5720</v>
      </c>
      <c r="BN1107" s="1" t="s">
        <v>1875</v>
      </c>
      <c r="BO1107" s="2" t="s">
        <v>5721</v>
      </c>
      <c r="BP1107" s="1" t="s">
        <v>1877</v>
      </c>
      <c r="BQ1107" s="2" t="s">
        <v>5722</v>
      </c>
    </row>
    <row r="1108" spans="1:69" ht="126" x14ac:dyDescent="0.45">
      <c r="A1108" s="5">
        <v>1107</v>
      </c>
      <c r="B1108" s="8" t="s">
        <v>846</v>
      </c>
      <c r="C1108" s="6" t="s">
        <v>1816</v>
      </c>
      <c r="D1108" s="7" t="s">
        <v>9794</v>
      </c>
      <c r="E1108" s="1" t="s">
        <v>1251</v>
      </c>
      <c r="F1108" s="1" t="s">
        <v>27</v>
      </c>
      <c r="G1108" s="1" t="s">
        <v>60</v>
      </c>
      <c r="J1108" s="1" t="s">
        <v>9795</v>
      </c>
      <c r="L1108" s="2" t="s">
        <v>9551</v>
      </c>
      <c r="M1108" s="1" t="s">
        <v>12176</v>
      </c>
      <c r="P1108" s="7" t="s">
        <v>1241</v>
      </c>
      <c r="Q1108" s="13"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R1108" s="13"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S1108" s="13" t="str">
        <f>INDEX($L:$L, MATCH("enforce", $B:$B, 0))</f>
        <v>&lt;span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v>
      </c>
      <c r="AU1108" s="15"/>
      <c r="AV1108" s="1" t="s">
        <v>38</v>
      </c>
      <c r="BG1108" s="7" t="s">
        <v>1242</v>
      </c>
      <c r="BH1108" s="1" t="s">
        <v>1875</v>
      </c>
      <c r="BI1108" s="2" t="s">
        <v>5723</v>
      </c>
      <c r="BJ1108" s="1" t="s">
        <v>1877</v>
      </c>
      <c r="BK1108" s="2" t="s">
        <v>5724</v>
      </c>
    </row>
    <row r="1109" spans="1:69" ht="144" x14ac:dyDescent="0.45">
      <c r="A1109" s="5">
        <v>1108</v>
      </c>
      <c r="B1109" s="6" t="s">
        <v>5725</v>
      </c>
      <c r="C1109" s="6" t="s">
        <v>1816</v>
      </c>
      <c r="D1109" s="7" t="s">
        <v>9794</v>
      </c>
      <c r="E1109" s="1" t="s">
        <v>1346</v>
      </c>
      <c r="F1109" s="1" t="s">
        <v>5726</v>
      </c>
      <c r="G1109" s="1"/>
      <c r="J1109" s="1" t="s">
        <v>9795</v>
      </c>
      <c r="K1109" s="1" t="s">
        <v>5727</v>
      </c>
      <c r="L1109" s="2" t="s">
        <v>9552</v>
      </c>
      <c r="P1109" s="7" t="s">
        <v>1241</v>
      </c>
      <c r="AU1109" s="15"/>
      <c r="AV1109" s="1" t="s">
        <v>38</v>
      </c>
      <c r="BG1109" s="7" t="s">
        <v>1242</v>
      </c>
      <c r="BH1109" s="1" t="s">
        <v>1947</v>
      </c>
      <c r="BI1109" s="2" t="s">
        <v>5728</v>
      </c>
      <c r="BJ1109" s="1" t="s">
        <v>1877</v>
      </c>
      <c r="BK1109" s="2" t="s">
        <v>5729</v>
      </c>
    </row>
    <row r="1110" spans="1:69" ht="108" x14ac:dyDescent="0.45">
      <c r="A1110" s="5">
        <v>1109</v>
      </c>
      <c r="B1110" s="6" t="s">
        <v>847</v>
      </c>
      <c r="C1110" s="6" t="s">
        <v>1816</v>
      </c>
      <c r="D1110" s="7" t="s">
        <v>9794</v>
      </c>
      <c r="E1110" s="6" t="s">
        <v>847</v>
      </c>
      <c r="F1110" s="1"/>
      <c r="G1110" s="1"/>
      <c r="J1110" s="1" t="s">
        <v>9795</v>
      </c>
      <c r="L1110" s="2" t="s">
        <v>9553</v>
      </c>
      <c r="P1110" s="7" t="s">
        <v>1241</v>
      </c>
      <c r="AU1110" s="15"/>
      <c r="AV1110" s="1" t="s">
        <v>38</v>
      </c>
      <c r="BG1110" s="7" t="s">
        <v>1242</v>
      </c>
      <c r="BH1110" s="1" t="s">
        <v>1877</v>
      </c>
      <c r="BI1110" s="2" t="s">
        <v>5730</v>
      </c>
    </row>
    <row r="1111" spans="1:69" ht="144" x14ac:dyDescent="0.45">
      <c r="A1111" s="5">
        <v>1110</v>
      </c>
      <c r="B1111" s="8" t="s">
        <v>848</v>
      </c>
      <c r="C1111" s="6" t="s">
        <v>1816</v>
      </c>
      <c r="D1111" s="7" t="s">
        <v>9794</v>
      </c>
      <c r="E1111" s="1" t="s">
        <v>1459</v>
      </c>
      <c r="F1111" s="1" t="s">
        <v>9061</v>
      </c>
      <c r="G1111" s="1" t="s">
        <v>1818</v>
      </c>
      <c r="J1111" s="1" t="s">
        <v>9795</v>
      </c>
      <c r="K1111" s="1" t="s">
        <v>9554</v>
      </c>
      <c r="L1111" s="2" t="s">
        <v>9555</v>
      </c>
      <c r="M1111" s="1" t="s">
        <v>12254</v>
      </c>
      <c r="P1111" s="7" t="s">
        <v>1241</v>
      </c>
      <c r="Q1111" s="13" t="str">
        <f>INDEX($L:$L, MATCH("vocabulary", $B:$B, 0))</f>
        <v>&lt;span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v>
      </c>
      <c r="R1111" s="13" t="str">
        <f>INDEX($L:$L, MATCH("vocal", $B:$B, 0))</f>
        <v>&lt;span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v>
      </c>
      <c r="AU1111" s="15"/>
      <c r="AV1111" s="1" t="s">
        <v>38</v>
      </c>
      <c r="BG1111" s="7" t="s">
        <v>1242</v>
      </c>
      <c r="BH1111" s="1" t="s">
        <v>1947</v>
      </c>
      <c r="BI1111" s="2" t="s">
        <v>5731</v>
      </c>
      <c r="BJ1111" s="1" t="s">
        <v>1959</v>
      </c>
      <c r="BK1111" s="1" t="s">
        <v>5732</v>
      </c>
      <c r="BL1111" s="1" t="s">
        <v>1875</v>
      </c>
      <c r="BM1111" s="2" t="s">
        <v>5733</v>
      </c>
      <c r="BN1111" s="1" t="s">
        <v>1877</v>
      </c>
      <c r="BO1111" s="2" t="s">
        <v>5734</v>
      </c>
    </row>
    <row r="1112" spans="1:69" ht="126" x14ac:dyDescent="0.45">
      <c r="A1112" s="5">
        <v>1111</v>
      </c>
      <c r="B1112" s="8" t="s">
        <v>849</v>
      </c>
      <c r="C1112" s="6" t="s">
        <v>1816</v>
      </c>
      <c r="D1112" s="7" t="s">
        <v>9794</v>
      </c>
      <c r="E1112" s="1" t="s">
        <v>46</v>
      </c>
      <c r="F1112" s="1" t="s">
        <v>4955</v>
      </c>
      <c r="G1112" s="1"/>
      <c r="J1112" s="1" t="s">
        <v>9795</v>
      </c>
      <c r="L1112" s="2" t="s">
        <v>9556</v>
      </c>
      <c r="M1112" s="1" t="s">
        <v>12253</v>
      </c>
      <c r="P1112" s="7" t="s">
        <v>1241</v>
      </c>
      <c r="Q1112"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R1112" s="13"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U1112" s="15"/>
      <c r="AV1112" s="1" t="s">
        <v>38</v>
      </c>
      <c r="BG1112" s="7" t="s">
        <v>1242</v>
      </c>
      <c r="BH1112" s="1" t="s">
        <v>1947</v>
      </c>
      <c r="BI1112" s="2" t="s">
        <v>5735</v>
      </c>
      <c r="BJ1112" s="1" t="s">
        <v>1875</v>
      </c>
      <c r="BK1112" s="2" t="s">
        <v>5736</v>
      </c>
    </row>
    <row r="1113" spans="1:69" ht="144" x14ac:dyDescent="0.45">
      <c r="A1113" s="5">
        <v>1112</v>
      </c>
      <c r="B1113" s="6" t="s">
        <v>850</v>
      </c>
      <c r="C1113" s="6" t="s">
        <v>1816</v>
      </c>
      <c r="D1113" s="7" t="s">
        <v>9794</v>
      </c>
      <c r="E1113" s="1" t="s">
        <v>5001</v>
      </c>
      <c r="F1113" s="1" t="s">
        <v>5737</v>
      </c>
      <c r="G1113" s="1"/>
      <c r="J1113" s="1" t="s">
        <v>9795</v>
      </c>
      <c r="L1113" s="2" t="s">
        <v>9557</v>
      </c>
      <c r="P1113" s="7" t="s">
        <v>1241</v>
      </c>
      <c r="Q1113" s="13" t="str">
        <f>INDEX($L:$L, MATCH("intake", $B:$B, 0))</f>
        <v>&lt;span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v>
      </c>
      <c r="AU1113" s="15"/>
      <c r="AV1113" s="1" t="s">
        <v>38</v>
      </c>
      <c r="BG1113" s="7" t="s">
        <v>1242</v>
      </c>
      <c r="BH1113" s="1" t="s">
        <v>1875</v>
      </c>
      <c r="BI1113" s="2" t="s">
        <v>9558</v>
      </c>
    </row>
    <row r="1114" spans="1:69" ht="54" x14ac:dyDescent="0.45">
      <c r="A1114" s="5">
        <v>1113</v>
      </c>
      <c r="B1114" s="6" t="s">
        <v>851</v>
      </c>
      <c r="C1114" s="6" t="s">
        <v>1816</v>
      </c>
      <c r="D1114" s="7" t="s">
        <v>9794</v>
      </c>
      <c r="E1114" s="6" t="s">
        <v>851</v>
      </c>
      <c r="F1114" s="1"/>
      <c r="G1114" s="1"/>
      <c r="J1114" s="1" t="s">
        <v>9795</v>
      </c>
      <c r="L1114" s="2" t="s">
        <v>9559</v>
      </c>
      <c r="P1114" s="7" t="s">
        <v>1241</v>
      </c>
      <c r="Q1114" s="13" t="str">
        <f>INDEX($L:$L, MATCH("grab", $B:$B, 0))</f>
        <v>&lt;span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v>
      </c>
      <c r="R1114" s="13" t="str">
        <f>INDEX($L:$L, MATCH("grasp", $B:$B, 0))</f>
        <v>&lt;span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v>
      </c>
      <c r="AV1114" s="1" t="s">
        <v>38</v>
      </c>
      <c r="BG1114" s="7" t="s">
        <v>1242</v>
      </c>
      <c r="BH1114" s="1" t="s">
        <v>1872</v>
      </c>
      <c r="BI1114" s="1" t="s">
        <v>5738</v>
      </c>
    </row>
    <row r="1115" spans="1:69" ht="162" x14ac:dyDescent="0.45">
      <c r="A1115" s="5">
        <v>1114</v>
      </c>
      <c r="B1115" s="6" t="s">
        <v>852</v>
      </c>
      <c r="C1115" s="6" t="s">
        <v>1816</v>
      </c>
      <c r="D1115" s="7" t="s">
        <v>9794</v>
      </c>
      <c r="E1115" s="1" t="s">
        <v>1505</v>
      </c>
      <c r="F1115" s="1" t="s">
        <v>1842</v>
      </c>
      <c r="G1115" s="1"/>
      <c r="J1115" s="1" t="s">
        <v>9795</v>
      </c>
      <c r="K1115" s="1" t="s">
        <v>3210</v>
      </c>
      <c r="L1115" s="3" t="s">
        <v>9560</v>
      </c>
      <c r="M1115" s="1" t="s">
        <v>12268</v>
      </c>
      <c r="P1115" s="7" t="s">
        <v>1241</v>
      </c>
      <c r="Q1115" s="13"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R1115" s="13"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S1115" s="13"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T1115" s="13"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v>
      </c>
      <c r="AU1115" s="15"/>
      <c r="AV1115" s="1" t="s">
        <v>38</v>
      </c>
      <c r="BG1115" s="7" t="s">
        <v>1242</v>
      </c>
      <c r="BH1115" s="1" t="s">
        <v>1947</v>
      </c>
      <c r="BI1115" s="2" t="s">
        <v>5739</v>
      </c>
      <c r="BJ1115" s="1" t="s">
        <v>1875</v>
      </c>
      <c r="BK1115" s="2" t="s">
        <v>5740</v>
      </c>
      <c r="BL1115" s="1" t="s">
        <v>1877</v>
      </c>
      <c r="BM1115" s="2" t="s">
        <v>5741</v>
      </c>
    </row>
    <row r="1116" spans="1:69" ht="126" x14ac:dyDescent="0.45">
      <c r="A1116" s="5">
        <v>1115</v>
      </c>
      <c r="B1116" s="6" t="s">
        <v>853</v>
      </c>
      <c r="C1116" s="6" t="s">
        <v>1816</v>
      </c>
      <c r="D1116" s="7" t="s">
        <v>9794</v>
      </c>
      <c r="E1116" s="1" t="s">
        <v>853</v>
      </c>
      <c r="F1116" s="1"/>
      <c r="G1116" s="1"/>
      <c r="J1116" s="1" t="s">
        <v>9795</v>
      </c>
      <c r="L1116" s="2" t="s">
        <v>9561</v>
      </c>
      <c r="P1116" s="7" t="s">
        <v>1241</v>
      </c>
      <c r="AV1116" s="1" t="s">
        <v>38</v>
      </c>
      <c r="BG1116" s="7" t="s">
        <v>1242</v>
      </c>
      <c r="BH1116" s="1" t="s">
        <v>1947</v>
      </c>
      <c r="BI1116" s="1" t="s">
        <v>9562</v>
      </c>
      <c r="BJ1116" s="1" t="s">
        <v>2026</v>
      </c>
      <c r="BK1116" s="1" t="s">
        <v>5742</v>
      </c>
      <c r="BL1116" s="1" t="s">
        <v>1959</v>
      </c>
      <c r="BM1116" s="2" t="s">
        <v>5743</v>
      </c>
      <c r="BN1116" s="1" t="s">
        <v>1875</v>
      </c>
      <c r="BO1116" s="2" t="s">
        <v>5744</v>
      </c>
      <c r="BP1116" s="1" t="s">
        <v>1877</v>
      </c>
      <c r="BQ1116" s="2" t="s">
        <v>5745</v>
      </c>
    </row>
    <row r="1117" spans="1:69" ht="162" x14ac:dyDescent="0.45">
      <c r="A1117" s="5">
        <v>1116</v>
      </c>
      <c r="B1117" s="6" t="s">
        <v>854</v>
      </c>
      <c r="C1117" s="6" t="s">
        <v>1816</v>
      </c>
      <c r="D1117" s="7" t="s">
        <v>9794</v>
      </c>
      <c r="E1117" s="1" t="s">
        <v>46</v>
      </c>
      <c r="F1117" s="1" t="s">
        <v>5746</v>
      </c>
      <c r="G1117" s="1"/>
      <c r="J1117" s="1" t="s">
        <v>9795</v>
      </c>
      <c r="K1117" s="1" t="s">
        <v>5747</v>
      </c>
      <c r="L1117" s="3" t="s">
        <v>9563</v>
      </c>
      <c r="P1117" s="7" t="s">
        <v>1241</v>
      </c>
      <c r="AU1117" s="15"/>
      <c r="AV1117" s="1" t="s">
        <v>38</v>
      </c>
      <c r="BG1117" s="7" t="s">
        <v>1242</v>
      </c>
      <c r="BH1117" s="1" t="s">
        <v>1947</v>
      </c>
      <c r="BI1117" s="2" t="s">
        <v>5748</v>
      </c>
      <c r="BJ1117" s="1" t="s">
        <v>1959</v>
      </c>
      <c r="BK1117" s="1" t="s">
        <v>5749</v>
      </c>
      <c r="BL1117" s="1" t="s">
        <v>1875</v>
      </c>
      <c r="BM1117" s="2" t="s">
        <v>5750</v>
      </c>
    </row>
    <row r="1118" spans="1:69" ht="54" x14ac:dyDescent="0.45">
      <c r="A1118" s="5">
        <v>1117</v>
      </c>
      <c r="B1118" s="6" t="s">
        <v>855</v>
      </c>
      <c r="C1118" s="6" t="s">
        <v>1816</v>
      </c>
      <c r="D1118" s="7" t="s">
        <v>9794</v>
      </c>
      <c r="E1118" s="1" t="s">
        <v>855</v>
      </c>
      <c r="F1118" s="1"/>
      <c r="G1118" s="1"/>
      <c r="J1118" s="1" t="s">
        <v>9795</v>
      </c>
      <c r="K1118" s="1" t="s">
        <v>5751</v>
      </c>
      <c r="L1118" s="2" t="s">
        <v>9564</v>
      </c>
      <c r="P1118" s="7" t="s">
        <v>1241</v>
      </c>
      <c r="AV1118" s="1" t="s">
        <v>38</v>
      </c>
      <c r="BG1118" s="7" t="s">
        <v>1242</v>
      </c>
      <c r="BH1118" s="1" t="s">
        <v>1872</v>
      </c>
      <c r="BI1118" s="1" t="s">
        <v>5752</v>
      </c>
      <c r="BJ1118" s="1" t="s">
        <v>1875</v>
      </c>
      <c r="BK1118" s="1" t="s">
        <v>5753</v>
      </c>
    </row>
    <row r="1119" spans="1:69" ht="72" x14ac:dyDescent="0.45">
      <c r="A1119" s="5">
        <v>1118</v>
      </c>
      <c r="B1119" s="6" t="s">
        <v>856</v>
      </c>
      <c r="C1119" s="6" t="s">
        <v>1816</v>
      </c>
      <c r="D1119" s="7" t="s">
        <v>9794</v>
      </c>
      <c r="E1119" s="1" t="s">
        <v>856</v>
      </c>
      <c r="F1119" s="1"/>
      <c r="G1119" s="1"/>
      <c r="J1119" s="1" t="s">
        <v>9795</v>
      </c>
      <c r="L1119" s="2" t="s">
        <v>9565</v>
      </c>
      <c r="P1119" s="7" t="s">
        <v>1241</v>
      </c>
      <c r="AV1119" s="1" t="s">
        <v>38</v>
      </c>
      <c r="BG1119" s="7" t="s">
        <v>1242</v>
      </c>
      <c r="BH1119" s="1" t="s">
        <v>1872</v>
      </c>
      <c r="BI1119" s="1" t="s">
        <v>5754</v>
      </c>
      <c r="BJ1119" s="1" t="s">
        <v>1875</v>
      </c>
      <c r="BK1119" s="1" t="s">
        <v>5755</v>
      </c>
      <c r="BL1119" s="1" t="s">
        <v>1877</v>
      </c>
      <c r="BM1119" s="2" t="s">
        <v>5756</v>
      </c>
    </row>
    <row r="1120" spans="1:69" ht="144" x14ac:dyDescent="0.45">
      <c r="A1120" s="5">
        <v>1119</v>
      </c>
      <c r="B1120" s="6" t="s">
        <v>857</v>
      </c>
      <c r="C1120" s="6" t="s">
        <v>1816</v>
      </c>
      <c r="D1120" s="7" t="s">
        <v>9794</v>
      </c>
      <c r="E1120" s="1" t="s">
        <v>857</v>
      </c>
      <c r="F1120" s="1"/>
      <c r="G1120" s="1"/>
      <c r="J1120" s="1" t="s">
        <v>9795</v>
      </c>
      <c r="K1120" s="1" t="s">
        <v>5757</v>
      </c>
      <c r="L1120" s="3" t="s">
        <v>9566</v>
      </c>
      <c r="M1120" s="1" t="s">
        <v>12175</v>
      </c>
      <c r="P1120" s="7" t="s">
        <v>1241</v>
      </c>
      <c r="Q1120" s="13"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120" s="13"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S1120" s="13"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T1120" s="13"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U1120" s="13" t="str">
        <f>INDEX($L:$L, MATCH("designate", $B:$B, 0))</f>
        <v>&lt;span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v>
      </c>
      <c r="AU1120" s="15"/>
      <c r="AV1120" s="1" t="s">
        <v>38</v>
      </c>
      <c r="BG1120" s="7" t="s">
        <v>1242</v>
      </c>
      <c r="BH1120" s="1" t="s">
        <v>1947</v>
      </c>
      <c r="BI1120" s="2" t="s">
        <v>5758</v>
      </c>
      <c r="BJ1120" s="1" t="s">
        <v>2026</v>
      </c>
      <c r="BK1120" s="1" t="s">
        <v>5759</v>
      </c>
      <c r="BL1120" s="1" t="s">
        <v>1959</v>
      </c>
      <c r="BM1120" s="1" t="s">
        <v>5760</v>
      </c>
      <c r="BN1120" s="1" t="s">
        <v>1875</v>
      </c>
      <c r="BO1120" s="2" t="s">
        <v>5761</v>
      </c>
      <c r="BP1120" s="1" t="s">
        <v>1877</v>
      </c>
      <c r="BQ1120" s="2" t="s">
        <v>5762</v>
      </c>
    </row>
    <row r="1121" spans="1:69" ht="198" x14ac:dyDescent="0.45">
      <c r="A1121" s="5">
        <v>1120</v>
      </c>
      <c r="B1121" s="8" t="s">
        <v>858</v>
      </c>
      <c r="C1121" s="6" t="s">
        <v>1816</v>
      </c>
      <c r="D1121" s="7" t="s">
        <v>9794</v>
      </c>
      <c r="E1121" s="1" t="s">
        <v>858</v>
      </c>
      <c r="F1121" s="1"/>
      <c r="G1121" s="1"/>
      <c r="J1121" s="1" t="s">
        <v>9795</v>
      </c>
      <c r="K1121" s="1" t="s">
        <v>5763</v>
      </c>
      <c r="L1121" s="2" t="s">
        <v>9567</v>
      </c>
      <c r="P1121" s="7" t="s">
        <v>1241</v>
      </c>
      <c r="Q1121" s="13"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AU1121" s="15"/>
      <c r="AV1121" s="1" t="s">
        <v>38</v>
      </c>
      <c r="BG1121" s="7" t="s">
        <v>1242</v>
      </c>
      <c r="BH1121" s="1" t="s">
        <v>1947</v>
      </c>
      <c r="BI1121" s="2" t="s">
        <v>5764</v>
      </c>
      <c r="BJ1121" s="1" t="s">
        <v>1877</v>
      </c>
      <c r="BK1121" s="2" t="s">
        <v>5765</v>
      </c>
    </row>
    <row r="1122" spans="1:69" ht="162" x14ac:dyDescent="0.45">
      <c r="A1122" s="5">
        <v>1121</v>
      </c>
      <c r="B1122" s="8" t="s">
        <v>859</v>
      </c>
      <c r="C1122" s="6" t="s">
        <v>1816</v>
      </c>
      <c r="D1122" s="7" t="s">
        <v>9794</v>
      </c>
      <c r="E1122" s="1" t="s">
        <v>1413</v>
      </c>
      <c r="F1122" s="1" t="s">
        <v>3806</v>
      </c>
      <c r="G1122" s="1" t="s">
        <v>5766</v>
      </c>
      <c r="J1122" s="1" t="s">
        <v>9795</v>
      </c>
      <c r="L1122" s="3" t="s">
        <v>9568</v>
      </c>
      <c r="P1122" s="7" t="s">
        <v>1241</v>
      </c>
      <c r="Q1122" s="13" t="str">
        <f>INDEX($L:$L, MATCH("suggest", $B:$B, 0))</f>
        <v>&lt;span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v>
      </c>
      <c r="R1122" s="13" t="str">
        <f>INDEX($L:$L, MATCH("register", $B:$B, 0))</f>
        <v>&lt;span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v>
      </c>
      <c r="AU1122" s="15"/>
      <c r="AV1122" s="1" t="s">
        <v>38</v>
      </c>
      <c r="BG1122" s="7" t="s">
        <v>1242</v>
      </c>
      <c r="BH1122" s="1" t="s">
        <v>1947</v>
      </c>
      <c r="BI1122" s="2" t="s">
        <v>5767</v>
      </c>
      <c r="BJ1122" s="1" t="s">
        <v>1877</v>
      </c>
      <c r="BK1122" s="2" t="s">
        <v>5768</v>
      </c>
    </row>
    <row r="1123" spans="1:69" ht="216" x14ac:dyDescent="0.45">
      <c r="A1123" s="5">
        <v>1122</v>
      </c>
      <c r="B1123" s="6" t="s">
        <v>860</v>
      </c>
      <c r="C1123" s="6" t="s">
        <v>1816</v>
      </c>
      <c r="D1123" s="7" t="s">
        <v>9794</v>
      </c>
      <c r="E1123" s="1" t="s">
        <v>1346</v>
      </c>
      <c r="F1123" s="1" t="s">
        <v>5769</v>
      </c>
      <c r="G1123" s="1"/>
      <c r="J1123" s="1" t="s">
        <v>9795</v>
      </c>
      <c r="L1123" s="3" t="s">
        <v>10418</v>
      </c>
      <c r="P1123" s="7" t="s">
        <v>1241</v>
      </c>
      <c r="Q1123" s="13" t="str">
        <f>INDEX($L:$L, MATCH("cause", $B:$B, 0))</f>
        <v>&lt;span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v>
      </c>
      <c r="AU1123" s="15"/>
      <c r="AV1123" s="1" t="s">
        <v>38</v>
      </c>
      <c r="BG1123" s="7" t="s">
        <v>1242</v>
      </c>
      <c r="BH1123" s="1" t="s">
        <v>1947</v>
      </c>
      <c r="BI1123" s="2" t="s">
        <v>5770</v>
      </c>
      <c r="BJ1123" s="1" t="s">
        <v>1959</v>
      </c>
      <c r="BK1123" s="2" t="s">
        <v>5771</v>
      </c>
      <c r="BL1123" s="1" t="s">
        <v>1875</v>
      </c>
      <c r="BM1123" s="2" t="s">
        <v>5772</v>
      </c>
    </row>
    <row r="1124" spans="1:69" ht="198" x14ac:dyDescent="0.45">
      <c r="A1124" s="5">
        <v>1123</v>
      </c>
      <c r="B1124" s="8" t="s">
        <v>861</v>
      </c>
      <c r="C1124" s="6" t="s">
        <v>1816</v>
      </c>
      <c r="D1124" s="7" t="s">
        <v>9794</v>
      </c>
      <c r="E1124" s="1" t="s">
        <v>861</v>
      </c>
      <c r="F1124" s="1"/>
      <c r="G1124" s="1"/>
      <c r="J1124" s="1" t="s">
        <v>9795</v>
      </c>
      <c r="K1124" s="1" t="s">
        <v>9569</v>
      </c>
      <c r="L1124" s="3" t="s">
        <v>9570</v>
      </c>
      <c r="P1124" s="7" t="s">
        <v>1241</v>
      </c>
      <c r="AU1124" s="15"/>
      <c r="AV1124" s="1" t="s">
        <v>38</v>
      </c>
      <c r="BG1124" s="7" t="s">
        <v>1242</v>
      </c>
      <c r="BH1124" s="1" t="s">
        <v>1947</v>
      </c>
      <c r="BI1124" s="2" t="s">
        <v>5773</v>
      </c>
      <c r="BJ1124" s="1" t="s">
        <v>2026</v>
      </c>
      <c r="BK1124" s="1" t="s">
        <v>5774</v>
      </c>
      <c r="BL1124" s="1" t="s">
        <v>1959</v>
      </c>
      <c r="BM1124" s="1" t="s">
        <v>5775</v>
      </c>
      <c r="BN1124" s="1" t="s">
        <v>1875</v>
      </c>
      <c r="BO1124" s="2" t="s">
        <v>5776</v>
      </c>
    </row>
    <row r="1125" spans="1:69" ht="108" x14ac:dyDescent="0.45">
      <c r="A1125" s="5">
        <v>1124</v>
      </c>
      <c r="B1125" s="8" t="s">
        <v>862</v>
      </c>
      <c r="C1125" s="6" t="s">
        <v>1816</v>
      </c>
      <c r="D1125" s="7" t="s">
        <v>9794</v>
      </c>
      <c r="E1125" s="1" t="s">
        <v>862</v>
      </c>
      <c r="F1125" s="1"/>
      <c r="G1125" s="1"/>
      <c r="J1125" s="1" t="s">
        <v>9795</v>
      </c>
      <c r="K1125" s="2" t="s">
        <v>5777</v>
      </c>
      <c r="L1125" s="2" t="s">
        <v>9571</v>
      </c>
      <c r="P1125" s="7" t="s">
        <v>1241</v>
      </c>
      <c r="AV1125" s="1" t="s">
        <v>38</v>
      </c>
      <c r="BG1125" s="7" t="s">
        <v>1242</v>
      </c>
      <c r="BH1125" s="1" t="s">
        <v>1947</v>
      </c>
      <c r="BI1125" s="1" t="s">
        <v>5778</v>
      </c>
      <c r="BJ1125" s="1" t="s">
        <v>1959</v>
      </c>
      <c r="BK1125" s="2" t="s">
        <v>5779</v>
      </c>
      <c r="BL1125" s="1" t="s">
        <v>1875</v>
      </c>
      <c r="BM1125" s="2" t="s">
        <v>5780</v>
      </c>
    </row>
    <row r="1126" spans="1:69" ht="90" x14ac:dyDescent="0.45">
      <c r="A1126" s="5">
        <v>1125</v>
      </c>
      <c r="B1126" s="6" t="s">
        <v>863</v>
      </c>
      <c r="C1126" s="6" t="s">
        <v>1816</v>
      </c>
      <c r="D1126" s="7" t="s">
        <v>9794</v>
      </c>
      <c r="E1126" s="1" t="s">
        <v>863</v>
      </c>
      <c r="F1126" s="1"/>
      <c r="G1126" s="1"/>
      <c r="J1126" s="1" t="s">
        <v>9795</v>
      </c>
      <c r="K1126" s="1" t="s">
        <v>5781</v>
      </c>
      <c r="L1126" s="2" t="s">
        <v>9572</v>
      </c>
      <c r="P1126" s="7" t="s">
        <v>1241</v>
      </c>
      <c r="AV1126" s="1" t="s">
        <v>38</v>
      </c>
      <c r="BG1126" s="7" t="s">
        <v>1242</v>
      </c>
      <c r="BH1126" s="1" t="s">
        <v>1872</v>
      </c>
      <c r="BI1126" s="1" t="s">
        <v>5782</v>
      </c>
      <c r="BJ1126" s="1" t="s">
        <v>1875</v>
      </c>
      <c r="BK1126" s="1" t="s">
        <v>5783</v>
      </c>
      <c r="BL1126" s="1" t="s">
        <v>3497</v>
      </c>
      <c r="BM1126" s="2" t="s">
        <v>5784</v>
      </c>
    </row>
    <row r="1127" spans="1:69" ht="198" x14ac:dyDescent="0.45">
      <c r="A1127" s="5">
        <v>1126</v>
      </c>
      <c r="B1127" s="6" t="s">
        <v>864</v>
      </c>
      <c r="C1127" s="6" t="s">
        <v>1816</v>
      </c>
      <c r="D1127" s="7" t="s">
        <v>9794</v>
      </c>
      <c r="E1127" s="1" t="s">
        <v>864</v>
      </c>
      <c r="F1127" s="1"/>
      <c r="G1127" s="1"/>
      <c r="J1127" s="1" t="s">
        <v>9795</v>
      </c>
      <c r="K1127" s="2" t="s">
        <v>9573</v>
      </c>
      <c r="L1127" s="2" t="s">
        <v>9574</v>
      </c>
      <c r="P1127" s="7" t="s">
        <v>1241</v>
      </c>
      <c r="AV1127" s="1" t="s">
        <v>38</v>
      </c>
      <c r="BG1127" s="7" t="s">
        <v>1242</v>
      </c>
      <c r="BH1127" s="1" t="s">
        <v>1872</v>
      </c>
      <c r="BI1127" s="1" t="s">
        <v>5785</v>
      </c>
      <c r="BJ1127" s="1" t="s">
        <v>1875</v>
      </c>
      <c r="BK1127" s="2" t="s">
        <v>5786</v>
      </c>
    </row>
    <row r="1128" spans="1:69" ht="126" x14ac:dyDescent="0.45">
      <c r="A1128" s="5">
        <v>1127</v>
      </c>
      <c r="B1128" s="6" t="s">
        <v>865</v>
      </c>
      <c r="C1128" s="6" t="s">
        <v>1816</v>
      </c>
      <c r="D1128" s="7" t="s">
        <v>9794</v>
      </c>
      <c r="E1128" s="1" t="s">
        <v>5787</v>
      </c>
      <c r="F1128" s="1" t="s">
        <v>5788</v>
      </c>
      <c r="G1128" s="1"/>
      <c r="J1128" s="1" t="s">
        <v>9795</v>
      </c>
      <c r="L1128" s="2" t="s">
        <v>9575</v>
      </c>
      <c r="P1128" s="7" t="s">
        <v>1241</v>
      </c>
      <c r="AU1128" s="15"/>
      <c r="AV1128" s="1" t="s">
        <v>38</v>
      </c>
      <c r="BG1128" s="7" t="s">
        <v>1242</v>
      </c>
      <c r="BH1128" s="1" t="s">
        <v>1872</v>
      </c>
      <c r="BI1128" s="2" t="s">
        <v>5789</v>
      </c>
    </row>
    <row r="1129" spans="1:69" ht="126" x14ac:dyDescent="0.45">
      <c r="A1129" s="5">
        <v>1128</v>
      </c>
      <c r="B1129" s="6" t="s">
        <v>866</v>
      </c>
      <c r="C1129" s="6" t="s">
        <v>1816</v>
      </c>
      <c r="D1129" s="7" t="s">
        <v>9794</v>
      </c>
      <c r="E1129" s="1" t="s">
        <v>866</v>
      </c>
      <c r="F1129" s="1"/>
      <c r="G1129" s="1"/>
      <c r="J1129" s="1" t="s">
        <v>9795</v>
      </c>
      <c r="L1129" s="3" t="s">
        <v>9593</v>
      </c>
      <c r="P1129" s="7" t="s">
        <v>1241</v>
      </c>
      <c r="AU1129" s="15"/>
      <c r="AV1129" s="1" t="s">
        <v>38</v>
      </c>
      <c r="BG1129" s="7" t="s">
        <v>1242</v>
      </c>
      <c r="BH1129" s="1" t="s">
        <v>1947</v>
      </c>
      <c r="BI1129" s="2" t="s">
        <v>5790</v>
      </c>
      <c r="BJ1129" s="1" t="s">
        <v>1959</v>
      </c>
      <c r="BK1129" s="1" t="s">
        <v>5791</v>
      </c>
      <c r="BL1129" s="1" t="s">
        <v>2114</v>
      </c>
      <c r="BM1129" s="1" t="s">
        <v>5792</v>
      </c>
      <c r="BN1129" s="1" t="s">
        <v>1875</v>
      </c>
      <c r="BO1129" s="2" t="s">
        <v>5793</v>
      </c>
      <c r="BP1129" s="1" t="s">
        <v>1877</v>
      </c>
      <c r="BQ1129" s="2" t="s">
        <v>5794</v>
      </c>
    </row>
    <row r="1130" spans="1:69" ht="180" x14ac:dyDescent="0.45">
      <c r="A1130" s="5">
        <v>1129</v>
      </c>
      <c r="B1130" s="8" t="s">
        <v>867</v>
      </c>
      <c r="C1130" s="6" t="s">
        <v>1816</v>
      </c>
      <c r="D1130" s="7" t="s">
        <v>9794</v>
      </c>
      <c r="E1130" s="1" t="s">
        <v>1467</v>
      </c>
      <c r="F1130" s="1" t="s">
        <v>5795</v>
      </c>
      <c r="G1130" s="1"/>
      <c r="J1130" s="1" t="s">
        <v>9795</v>
      </c>
      <c r="L1130" s="3" t="s">
        <v>9576</v>
      </c>
      <c r="M1130" s="1" t="s">
        <v>12226</v>
      </c>
      <c r="P1130" s="7" t="s">
        <v>1241</v>
      </c>
      <c r="Q1130"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130"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130"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130"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130"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130"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130"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130"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1130"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1130"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1130"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1130"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130"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130"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130"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1130" s="15"/>
      <c r="AV1130" s="1" t="s">
        <v>38</v>
      </c>
      <c r="BG1130" s="7" t="s">
        <v>1242</v>
      </c>
      <c r="BH1130" s="1" t="s">
        <v>1947</v>
      </c>
      <c r="BI1130" s="2" t="s">
        <v>5796</v>
      </c>
      <c r="BJ1130" s="1" t="s">
        <v>1959</v>
      </c>
      <c r="BK1130" s="1" t="s">
        <v>5797</v>
      </c>
      <c r="BL1130" s="1" t="s">
        <v>1875</v>
      </c>
      <c r="BM1130" s="2" t="s">
        <v>5798</v>
      </c>
    </row>
    <row r="1131" spans="1:69" ht="216" x14ac:dyDescent="0.45">
      <c r="A1131" s="5">
        <v>1130</v>
      </c>
      <c r="B1131" s="6" t="s">
        <v>868</v>
      </c>
      <c r="C1131" s="6" t="s">
        <v>1816</v>
      </c>
      <c r="D1131" s="7" t="s">
        <v>9794</v>
      </c>
      <c r="E1131" s="1" t="s">
        <v>1413</v>
      </c>
      <c r="F1131" s="1" t="s">
        <v>5799</v>
      </c>
      <c r="G1131" s="1"/>
      <c r="J1131" s="1" t="s">
        <v>9795</v>
      </c>
      <c r="L1131" s="3" t="s">
        <v>9577</v>
      </c>
      <c r="P1131" s="7" t="s">
        <v>1241</v>
      </c>
      <c r="AU1131" s="15"/>
      <c r="AV1131" s="1" t="s">
        <v>38</v>
      </c>
      <c r="BG1131" s="7" t="s">
        <v>1242</v>
      </c>
      <c r="BH1131" s="1" t="s">
        <v>1947</v>
      </c>
      <c r="BI1131" s="2" t="s">
        <v>5800</v>
      </c>
      <c r="BJ1131" s="1" t="s">
        <v>1877</v>
      </c>
      <c r="BK1131" s="2" t="s">
        <v>5801</v>
      </c>
    </row>
    <row r="1132" spans="1:69" ht="180" x14ac:dyDescent="0.45">
      <c r="A1132" s="5">
        <v>1131</v>
      </c>
      <c r="B1132" s="6" t="s">
        <v>869</v>
      </c>
      <c r="C1132" s="6" t="s">
        <v>1816</v>
      </c>
      <c r="D1132" s="7" t="s">
        <v>9794</v>
      </c>
      <c r="E1132" s="1" t="s">
        <v>1505</v>
      </c>
      <c r="F1132" s="1" t="s">
        <v>5802</v>
      </c>
      <c r="G1132" s="1"/>
      <c r="J1132" s="1" t="s">
        <v>9795</v>
      </c>
      <c r="L1132" s="3" t="s">
        <v>9578</v>
      </c>
      <c r="P1132" s="7" t="s">
        <v>1241</v>
      </c>
      <c r="AV1132" s="1" t="s">
        <v>38</v>
      </c>
      <c r="BG1132" s="7" t="s">
        <v>1242</v>
      </c>
      <c r="BH1132" s="1" t="s">
        <v>1947</v>
      </c>
      <c r="BI1132" s="1" t="s">
        <v>5803</v>
      </c>
      <c r="BJ1132" s="1" t="s">
        <v>1996</v>
      </c>
      <c r="BK1132" s="2" t="s">
        <v>5804</v>
      </c>
      <c r="BL1132" s="1" t="s">
        <v>1877</v>
      </c>
      <c r="BM1132" s="2" t="s">
        <v>5805</v>
      </c>
    </row>
    <row r="1133" spans="1:69" ht="270" x14ac:dyDescent="0.45">
      <c r="A1133" s="5">
        <v>1132</v>
      </c>
      <c r="B1133" s="6" t="s">
        <v>870</v>
      </c>
      <c r="C1133" s="6" t="s">
        <v>1816</v>
      </c>
      <c r="D1133" s="7" t="s">
        <v>9794</v>
      </c>
      <c r="E1133" s="1" t="s">
        <v>1467</v>
      </c>
      <c r="F1133" s="1" t="s">
        <v>5806</v>
      </c>
      <c r="G1133" s="1"/>
      <c r="J1133" s="1" t="s">
        <v>9795</v>
      </c>
      <c r="L1133" s="3" t="s">
        <v>9579</v>
      </c>
      <c r="M1133" s="1" t="s">
        <v>12273</v>
      </c>
      <c r="P1133" s="7" t="s">
        <v>1241</v>
      </c>
      <c r="Q1133" s="13"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R1133" s="13"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U1133" s="15"/>
      <c r="AV1133" s="1" t="s">
        <v>38</v>
      </c>
      <c r="BG1133" s="7" t="s">
        <v>1242</v>
      </c>
      <c r="BH1133" s="1" t="s">
        <v>1947</v>
      </c>
      <c r="BI1133" s="2" t="s">
        <v>5807</v>
      </c>
      <c r="BJ1133" s="1" t="s">
        <v>1875</v>
      </c>
      <c r="BK1133" s="2" t="s">
        <v>5808</v>
      </c>
      <c r="BL1133" s="1" t="s">
        <v>1877</v>
      </c>
      <c r="BM1133" s="2" t="s">
        <v>9580</v>
      </c>
    </row>
    <row r="1134" spans="1:69" ht="72" x14ac:dyDescent="0.45">
      <c r="A1134" s="5" t="s">
        <v>5809</v>
      </c>
      <c r="B1134" s="6" t="s">
        <v>871</v>
      </c>
      <c r="C1134" s="6" t="s">
        <v>1816</v>
      </c>
      <c r="D1134" s="7" t="s">
        <v>9794</v>
      </c>
      <c r="E1134" s="1" t="s">
        <v>871</v>
      </c>
      <c r="F1134" s="1"/>
      <c r="G1134" s="1"/>
      <c r="J1134" s="1" t="s">
        <v>9795</v>
      </c>
      <c r="K1134" s="1" t="s">
        <v>5810</v>
      </c>
      <c r="L1134" s="2" t="s">
        <v>9581</v>
      </c>
      <c r="P1134" s="7" t="s">
        <v>1241</v>
      </c>
      <c r="AU1134" s="15"/>
      <c r="AV1134" s="1" t="s">
        <v>38</v>
      </c>
      <c r="BG1134" s="7" t="s">
        <v>1242</v>
      </c>
      <c r="BH1134" s="1" t="s">
        <v>1947</v>
      </c>
      <c r="BI1134" s="2" t="s">
        <v>5811</v>
      </c>
      <c r="BJ1134" s="1" t="s">
        <v>1877</v>
      </c>
      <c r="BK1134" s="2" t="s">
        <v>5812</v>
      </c>
    </row>
    <row r="1135" spans="1:69" ht="126" x14ac:dyDescent="0.45">
      <c r="A1135" s="5">
        <v>1134</v>
      </c>
      <c r="B1135" s="8" t="s">
        <v>872</v>
      </c>
      <c r="C1135" s="6" t="s">
        <v>1816</v>
      </c>
      <c r="D1135" s="7" t="s">
        <v>9794</v>
      </c>
      <c r="E1135" s="1" t="s">
        <v>5813</v>
      </c>
      <c r="F1135" s="1" t="s">
        <v>5814</v>
      </c>
      <c r="G1135" s="1"/>
      <c r="J1135" s="1" t="s">
        <v>9795</v>
      </c>
      <c r="K1135" s="2" t="s">
        <v>9582</v>
      </c>
      <c r="L1135" s="3" t="s">
        <v>9583</v>
      </c>
      <c r="M1135" s="1" t="s">
        <v>12226</v>
      </c>
      <c r="P1135" s="7" t="s">
        <v>1241</v>
      </c>
      <c r="Q1135"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135"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135"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135"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135"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135"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135"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135"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1135"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1135"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1135"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1135"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135"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135"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135"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1135" s="15"/>
      <c r="AV1135" s="1" t="s">
        <v>38</v>
      </c>
      <c r="BG1135" s="7" t="s">
        <v>1242</v>
      </c>
      <c r="BH1135" s="1" t="s">
        <v>1947</v>
      </c>
      <c r="BI1135" s="2" t="s">
        <v>5815</v>
      </c>
      <c r="BJ1135" s="1" t="s">
        <v>1877</v>
      </c>
      <c r="BK1135" s="2" t="s">
        <v>5816</v>
      </c>
    </row>
    <row r="1136" spans="1:69" ht="108" x14ac:dyDescent="0.45">
      <c r="A1136" s="5">
        <v>1135</v>
      </c>
      <c r="B1136" s="8" t="s">
        <v>873</v>
      </c>
      <c r="C1136" s="6" t="s">
        <v>1816</v>
      </c>
      <c r="D1136" s="7" t="s">
        <v>9794</v>
      </c>
      <c r="E1136" s="1" t="s">
        <v>873</v>
      </c>
      <c r="F1136" s="1"/>
      <c r="G1136" s="1"/>
      <c r="J1136" s="1" t="s">
        <v>9795</v>
      </c>
      <c r="L1136" s="2" t="s">
        <v>9584</v>
      </c>
      <c r="M1136" s="1" t="s">
        <v>12223</v>
      </c>
      <c r="P1136" s="7" t="s">
        <v>1241</v>
      </c>
      <c r="Q1136"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136"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136"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136"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1136"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V1136"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W1136"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X1136"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1136"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136"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136" s="15"/>
      <c r="AV1136" s="1" t="s">
        <v>38</v>
      </c>
      <c r="BG1136" s="7" t="s">
        <v>1242</v>
      </c>
      <c r="BH1136" s="1" t="s">
        <v>1947</v>
      </c>
      <c r="BI1136" s="2" t="s">
        <v>5817</v>
      </c>
      <c r="BJ1136" s="1" t="s">
        <v>1959</v>
      </c>
      <c r="BK1136" s="1" t="s">
        <v>5818</v>
      </c>
      <c r="BL1136" s="1" t="s">
        <v>1875</v>
      </c>
      <c r="BM1136" s="2" t="s">
        <v>5819</v>
      </c>
    </row>
    <row r="1137" spans="1:69" ht="216" x14ac:dyDescent="0.45">
      <c r="A1137" s="5">
        <v>1136</v>
      </c>
      <c r="B1137" s="8" t="s">
        <v>874</v>
      </c>
      <c r="C1137" s="6" t="s">
        <v>1816</v>
      </c>
      <c r="D1137" s="7" t="s">
        <v>9794</v>
      </c>
      <c r="E1137" s="1" t="s">
        <v>1467</v>
      </c>
      <c r="F1137" s="1" t="s">
        <v>5820</v>
      </c>
      <c r="G1137" s="1"/>
      <c r="J1137" s="1" t="s">
        <v>9795</v>
      </c>
      <c r="K1137" s="2" t="s">
        <v>9585</v>
      </c>
      <c r="L1137" s="2" t="s">
        <v>9586</v>
      </c>
      <c r="M1137" s="1" t="s">
        <v>12268</v>
      </c>
      <c r="P1137" s="7" t="s">
        <v>1241</v>
      </c>
      <c r="Q1137" s="13"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R1137" s="13"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S1137" s="13"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T1137" s="13"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v>
      </c>
      <c r="AU1137" s="15"/>
      <c r="AV1137" s="1" t="s">
        <v>38</v>
      </c>
      <c r="BG1137" s="7" t="s">
        <v>1242</v>
      </c>
      <c r="BH1137" s="1" t="s">
        <v>1947</v>
      </c>
      <c r="BI1137" s="2" t="s">
        <v>5821</v>
      </c>
      <c r="BJ1137" s="1" t="s">
        <v>2036</v>
      </c>
      <c r="BK1137" s="2" t="s">
        <v>5822</v>
      </c>
      <c r="BL1137" s="1" t="s">
        <v>1959</v>
      </c>
      <c r="BM1137" s="2" t="s">
        <v>5823</v>
      </c>
      <c r="BN1137" s="1" t="s">
        <v>1875</v>
      </c>
      <c r="BO1137" s="2" t="s">
        <v>5824</v>
      </c>
      <c r="BP1137" s="1" t="s">
        <v>1877</v>
      </c>
      <c r="BQ1137" s="2" t="s">
        <v>5825</v>
      </c>
    </row>
    <row r="1138" spans="1:69" ht="126" x14ac:dyDescent="0.45">
      <c r="A1138" s="5">
        <v>1137</v>
      </c>
      <c r="B1138" s="8" t="s">
        <v>875</v>
      </c>
      <c r="C1138" s="6" t="s">
        <v>1816</v>
      </c>
      <c r="D1138" s="7" t="s">
        <v>9794</v>
      </c>
      <c r="E1138" s="1" t="s">
        <v>1454</v>
      </c>
      <c r="F1138" s="1" t="s">
        <v>1668</v>
      </c>
      <c r="G1138" s="1"/>
      <c r="J1138" s="1" t="s">
        <v>9795</v>
      </c>
      <c r="L1138" s="2" t="s">
        <v>9587</v>
      </c>
      <c r="M1138" s="1" t="s">
        <v>12248</v>
      </c>
      <c r="P1138" s="7" t="s">
        <v>1241</v>
      </c>
      <c r="Q1138" s="13"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1138" s="13"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S1138" s="13"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T1138" s="13"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U1138" s="13"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1138" s="13"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AU1138" s="15"/>
      <c r="AV1138" s="1" t="s">
        <v>38</v>
      </c>
      <c r="BG1138" s="7" t="s">
        <v>1242</v>
      </c>
      <c r="BH1138" s="1" t="s">
        <v>1947</v>
      </c>
      <c r="BI1138" s="2" t="s">
        <v>5826</v>
      </c>
      <c r="BJ1138" s="1" t="s">
        <v>1875</v>
      </c>
      <c r="BK1138" s="2" t="s">
        <v>5827</v>
      </c>
    </row>
    <row r="1139" spans="1:69" ht="108" x14ac:dyDescent="0.45">
      <c r="A1139" s="5">
        <v>1138</v>
      </c>
      <c r="B1139" s="8" t="s">
        <v>876</v>
      </c>
      <c r="C1139" s="6" t="s">
        <v>1816</v>
      </c>
      <c r="D1139" s="7" t="s">
        <v>9794</v>
      </c>
      <c r="E1139" s="1" t="s">
        <v>1413</v>
      </c>
      <c r="F1139" s="1" t="s">
        <v>1408</v>
      </c>
      <c r="G1139" s="1"/>
      <c r="J1139" s="1" t="s">
        <v>9795</v>
      </c>
      <c r="K1139" s="2" t="s">
        <v>9588</v>
      </c>
      <c r="L1139" s="2" t="s">
        <v>9589</v>
      </c>
      <c r="M1139" s="1" t="s">
        <v>12232</v>
      </c>
      <c r="P1139" s="7" t="s">
        <v>1241</v>
      </c>
      <c r="Q1139" s="13"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R1139" s="13"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S1139" s="13"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T1139" s="13"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AU1139" s="15"/>
      <c r="AV1139" s="1" t="s">
        <v>38</v>
      </c>
      <c r="BG1139" s="7" t="s">
        <v>1242</v>
      </c>
      <c r="BH1139" s="1" t="s">
        <v>1947</v>
      </c>
      <c r="BI1139" s="2" t="s">
        <v>5828</v>
      </c>
      <c r="BJ1139" s="1" t="s">
        <v>1875</v>
      </c>
      <c r="BK1139" s="2" t="s">
        <v>5829</v>
      </c>
    </row>
    <row r="1140" spans="1:69" ht="126" x14ac:dyDescent="0.45">
      <c r="A1140" s="5">
        <v>1139</v>
      </c>
      <c r="B1140" s="8" t="s">
        <v>877</v>
      </c>
      <c r="C1140" s="6" t="s">
        <v>1816</v>
      </c>
      <c r="D1140" s="7" t="s">
        <v>9794</v>
      </c>
      <c r="E1140" s="1" t="s">
        <v>27</v>
      </c>
      <c r="F1140" s="1" t="s">
        <v>1937</v>
      </c>
      <c r="G1140" s="1"/>
      <c r="J1140" s="1" t="s">
        <v>9795</v>
      </c>
      <c r="K1140" s="1" t="s">
        <v>9590</v>
      </c>
      <c r="L1140" s="2" t="s">
        <v>9591</v>
      </c>
      <c r="P1140" s="7" t="s">
        <v>1241</v>
      </c>
      <c r="Q1140" s="13" t="str">
        <f>INDEX($L:$L, MATCH("heritage", $B:$B, 0))</f>
        <v>&lt;span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v>
      </c>
      <c r="AU1140" s="15"/>
      <c r="AV1140" s="1" t="s">
        <v>38</v>
      </c>
      <c r="BG1140" s="7" t="s">
        <v>1242</v>
      </c>
      <c r="BH1140" s="1" t="s">
        <v>1947</v>
      </c>
      <c r="BI1140" s="2" t="s">
        <v>5830</v>
      </c>
      <c r="BJ1140" s="1" t="s">
        <v>1959</v>
      </c>
      <c r="BK1140" s="1" t="s">
        <v>5831</v>
      </c>
      <c r="BL1140" s="1" t="s">
        <v>1875</v>
      </c>
      <c r="BM1140" s="2" t="s">
        <v>5832</v>
      </c>
    </row>
    <row r="1141" spans="1:69" ht="126" x14ac:dyDescent="0.45">
      <c r="A1141" s="5">
        <v>1140</v>
      </c>
      <c r="B1141" s="6" t="s">
        <v>878</v>
      </c>
      <c r="C1141" s="6" t="s">
        <v>1816</v>
      </c>
      <c r="D1141" s="7" t="s">
        <v>9794</v>
      </c>
      <c r="E1141" s="1" t="s">
        <v>878</v>
      </c>
      <c r="F1141" s="1"/>
      <c r="G1141" s="1"/>
      <c r="J1141" s="1" t="s">
        <v>9795</v>
      </c>
      <c r="L1141" s="2" t="s">
        <v>9592</v>
      </c>
      <c r="P1141" s="7" t="s">
        <v>1241</v>
      </c>
      <c r="AV1141" s="1" t="s">
        <v>38</v>
      </c>
      <c r="BG1141" s="7" t="s">
        <v>1242</v>
      </c>
      <c r="BH1141" s="1" t="s">
        <v>1872</v>
      </c>
      <c r="BI1141" s="1" t="s">
        <v>5833</v>
      </c>
      <c r="BJ1141" s="1" t="s">
        <v>1875</v>
      </c>
      <c r="BK1141" s="2" t="s">
        <v>5834</v>
      </c>
      <c r="BL1141" s="1" t="s">
        <v>1877</v>
      </c>
      <c r="BM1141" s="2" t="s">
        <v>5835</v>
      </c>
    </row>
    <row r="1142" spans="1:69" ht="126" x14ac:dyDescent="0.45">
      <c r="A1142" s="5">
        <v>1141</v>
      </c>
      <c r="B1142" s="6" t="s">
        <v>879</v>
      </c>
      <c r="C1142" s="6" t="s">
        <v>6851</v>
      </c>
      <c r="D1142" s="7" t="s">
        <v>9794</v>
      </c>
      <c r="E1142" s="1" t="s">
        <v>1825</v>
      </c>
      <c r="F1142" s="1" t="s">
        <v>5478</v>
      </c>
      <c r="G1142" s="1"/>
      <c r="J1142" s="1" t="s">
        <v>9795</v>
      </c>
      <c r="K1142" s="2" t="s">
        <v>9594</v>
      </c>
      <c r="L1142" s="2" t="s">
        <v>9595</v>
      </c>
      <c r="P1142" s="7" t="s">
        <v>1241</v>
      </c>
      <c r="Q1142" s="13" t="str">
        <f>INDEX($L:$L, MATCH("sympathy", $B:$B, 0))</f>
        <v>&lt;span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v>
      </c>
      <c r="AU1142" s="15"/>
      <c r="AV1142" s="1" t="s">
        <v>38</v>
      </c>
      <c r="BG1142" s="7" t="s">
        <v>1242</v>
      </c>
      <c r="BH1142" s="1" t="s">
        <v>2458</v>
      </c>
      <c r="BI1142" s="2" t="s">
        <v>5836</v>
      </c>
      <c r="BJ1142" s="1" t="s">
        <v>3461</v>
      </c>
      <c r="BK1142" s="2" t="s">
        <v>9596</v>
      </c>
      <c r="BL1142" s="1" t="s">
        <v>3497</v>
      </c>
      <c r="BM1142" s="2" t="s">
        <v>9597</v>
      </c>
    </row>
    <row r="1143" spans="1:69" ht="90" x14ac:dyDescent="0.45">
      <c r="A1143" s="5">
        <v>1142</v>
      </c>
      <c r="B1143" s="6" t="s">
        <v>880</v>
      </c>
      <c r="C1143" s="6" t="s">
        <v>6851</v>
      </c>
      <c r="D1143" s="7" t="s">
        <v>9794</v>
      </c>
      <c r="E1143" s="1" t="s">
        <v>880</v>
      </c>
      <c r="F1143" s="1"/>
      <c r="G1143" s="1"/>
      <c r="J1143" s="1" t="s">
        <v>9795</v>
      </c>
      <c r="K1143" s="1" t="s">
        <v>9598</v>
      </c>
      <c r="L1143" s="2" t="s">
        <v>9599</v>
      </c>
      <c r="P1143" s="7" t="s">
        <v>1241</v>
      </c>
      <c r="AU1143" s="15"/>
      <c r="AV1143" s="1" t="s">
        <v>38</v>
      </c>
      <c r="BG1143" s="7" t="s">
        <v>1242</v>
      </c>
      <c r="BH1143" s="1" t="s">
        <v>1877</v>
      </c>
      <c r="BI1143" s="2" t="s">
        <v>5837</v>
      </c>
    </row>
    <row r="1144" spans="1:69" ht="144" x14ac:dyDescent="0.45">
      <c r="A1144" s="5">
        <v>1143</v>
      </c>
      <c r="B1144" s="6" t="s">
        <v>881</v>
      </c>
      <c r="C1144" s="6" t="s">
        <v>6851</v>
      </c>
      <c r="D1144" s="7" t="s">
        <v>9794</v>
      </c>
      <c r="E1144" s="1" t="s">
        <v>4986</v>
      </c>
      <c r="F1144" s="1" t="s">
        <v>5838</v>
      </c>
      <c r="G1144" s="1"/>
      <c r="J1144" s="1" t="s">
        <v>9795</v>
      </c>
      <c r="L1144" s="2" t="s">
        <v>9600</v>
      </c>
      <c r="P1144" s="7" t="s">
        <v>1241</v>
      </c>
      <c r="Q1144" s="13" t="str">
        <f>INDEX($L:$L, MATCH("comprise", $B:$B, 0))</f>
        <v>&lt;span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v>
      </c>
      <c r="R1144" s="13" t="str">
        <f>INDEX($L:$L, MATCH("comprehend", $B:$B, 0))</f>
        <v>&lt;span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v>
      </c>
      <c r="AU1144" s="15"/>
      <c r="AV1144" s="1" t="s">
        <v>38</v>
      </c>
      <c r="BG1144" s="7" t="s">
        <v>1242</v>
      </c>
      <c r="BH1144" s="1" t="s">
        <v>1959</v>
      </c>
      <c r="BI1144" s="2" t="s">
        <v>5839</v>
      </c>
      <c r="BJ1144" s="1" t="s">
        <v>1875</v>
      </c>
      <c r="BK1144" s="2" t="s">
        <v>5840</v>
      </c>
    </row>
    <row r="1145" spans="1:69" ht="126" x14ac:dyDescent="0.45">
      <c r="A1145" s="5">
        <v>1144</v>
      </c>
      <c r="B1145" s="6" t="s">
        <v>882</v>
      </c>
      <c r="C1145" s="6" t="s">
        <v>6851</v>
      </c>
      <c r="D1145" s="7" t="s">
        <v>9794</v>
      </c>
      <c r="E1145" s="1" t="s">
        <v>1660</v>
      </c>
      <c r="F1145" s="1" t="s">
        <v>5472</v>
      </c>
      <c r="G1145" s="1"/>
      <c r="J1145" s="1" t="s">
        <v>9795</v>
      </c>
      <c r="L1145" s="2" t="s">
        <v>9601</v>
      </c>
      <c r="P1145" s="7" t="s">
        <v>1241</v>
      </c>
      <c r="Q1145" s="13" t="str">
        <f>INDEX($L:$L, MATCH("input", $B:$B, 0))</f>
        <v>&lt;span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v>
      </c>
      <c r="AU1145" s="15"/>
      <c r="AV1145" s="1" t="s">
        <v>38</v>
      </c>
      <c r="BG1145" s="7" t="s">
        <v>1242</v>
      </c>
      <c r="BH1145" s="1" t="s">
        <v>1877</v>
      </c>
      <c r="BI1145" s="2" t="s">
        <v>5841</v>
      </c>
    </row>
    <row r="1146" spans="1:69" ht="162" x14ac:dyDescent="0.45">
      <c r="A1146" s="5">
        <v>1145</v>
      </c>
      <c r="B1146" s="8" t="s">
        <v>883</v>
      </c>
      <c r="C1146" s="6" t="s">
        <v>6851</v>
      </c>
      <c r="D1146" s="7" t="s">
        <v>9794</v>
      </c>
      <c r="E1146" s="1" t="s">
        <v>46</v>
      </c>
      <c r="F1146" s="1" t="s">
        <v>1441</v>
      </c>
      <c r="G1146" s="1"/>
      <c r="J1146" s="1" t="s">
        <v>9795</v>
      </c>
      <c r="K1146" s="2" t="s">
        <v>9602</v>
      </c>
      <c r="L1146" s="3" t="s">
        <v>9603</v>
      </c>
      <c r="M1146" s="1" t="s">
        <v>12239</v>
      </c>
      <c r="P1146" s="7" t="s">
        <v>1241</v>
      </c>
      <c r="Q1146" s="13"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1146" s="13"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1146" s="13"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T1146" s="13"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1146" s="13"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AU1146" s="15"/>
      <c r="AV1146" s="1" t="s">
        <v>38</v>
      </c>
      <c r="BG1146" s="7" t="s">
        <v>1242</v>
      </c>
      <c r="BH1146" s="1" t="s">
        <v>1947</v>
      </c>
      <c r="BI1146" s="2" t="s">
        <v>5842</v>
      </c>
      <c r="BJ1146" s="1" t="s">
        <v>1875</v>
      </c>
      <c r="BK1146" s="2" t="s">
        <v>5843</v>
      </c>
      <c r="BL1146" s="1" t="s">
        <v>1877</v>
      </c>
      <c r="BM1146" s="2" t="s">
        <v>5844</v>
      </c>
    </row>
    <row r="1147" spans="1:69" ht="144" x14ac:dyDescent="0.45">
      <c r="A1147" s="5">
        <v>1146</v>
      </c>
      <c r="B1147" s="6" t="s">
        <v>884</v>
      </c>
      <c r="C1147" s="6" t="s">
        <v>6851</v>
      </c>
      <c r="D1147" s="7" t="s">
        <v>9794</v>
      </c>
      <c r="E1147" s="1" t="s">
        <v>5845</v>
      </c>
      <c r="F1147" s="1" t="s">
        <v>5846</v>
      </c>
      <c r="G1147" s="1"/>
      <c r="J1147" s="1" t="s">
        <v>9795</v>
      </c>
      <c r="K1147" s="2" t="s">
        <v>12142</v>
      </c>
      <c r="L1147" s="2" t="s">
        <v>9604</v>
      </c>
      <c r="P1147" s="7" t="s">
        <v>1241</v>
      </c>
      <c r="Q1147" s="13" t="str">
        <f>INDEX($L:$L, MATCH("annual", $B:$B, 0))</f>
        <v>&lt;span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v>
      </c>
      <c r="R1147"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AU1147" s="15"/>
      <c r="AV1147" s="1" t="s">
        <v>38</v>
      </c>
      <c r="BG1147" s="7" t="s">
        <v>1242</v>
      </c>
      <c r="BH1147" s="1" t="s">
        <v>1947</v>
      </c>
      <c r="BI1147" s="2" t="s">
        <v>5847</v>
      </c>
      <c r="BJ1147" s="1" t="s">
        <v>1877</v>
      </c>
      <c r="BK1147" s="1" t="s">
        <v>5848</v>
      </c>
      <c r="BL1147" s="1" t="s">
        <v>1877</v>
      </c>
      <c r="BM1147" s="2" t="s">
        <v>5849</v>
      </c>
    </row>
    <row r="1148" spans="1:69" ht="108" x14ac:dyDescent="0.45">
      <c r="A1148" s="5">
        <v>1147</v>
      </c>
      <c r="B1148" s="6" t="s">
        <v>885</v>
      </c>
      <c r="C1148" s="6" t="s">
        <v>6851</v>
      </c>
      <c r="D1148" s="7" t="s">
        <v>9794</v>
      </c>
      <c r="E1148" s="1" t="s">
        <v>1932</v>
      </c>
      <c r="F1148" s="1" t="s">
        <v>5850</v>
      </c>
      <c r="G1148" s="1"/>
      <c r="J1148" s="1" t="s">
        <v>9795</v>
      </c>
      <c r="K1148" s="1" t="s">
        <v>9605</v>
      </c>
      <c r="L1148" s="2" t="s">
        <v>9606</v>
      </c>
      <c r="P1148" s="7" t="s">
        <v>1241</v>
      </c>
      <c r="AU1148" s="15"/>
      <c r="AV1148" s="1" t="s">
        <v>38</v>
      </c>
      <c r="BG1148" s="7" t="s">
        <v>1242</v>
      </c>
      <c r="BH1148" s="1" t="s">
        <v>1872</v>
      </c>
      <c r="BI1148" s="2" t="s">
        <v>5851</v>
      </c>
      <c r="BJ1148" s="1" t="s">
        <v>1875</v>
      </c>
      <c r="BK1148" s="2" t="s">
        <v>5852</v>
      </c>
    </row>
    <row r="1149" spans="1:69" ht="72" x14ac:dyDescent="0.45">
      <c r="A1149" s="5">
        <v>1148</v>
      </c>
      <c r="B1149" s="6" t="s">
        <v>886</v>
      </c>
      <c r="C1149" s="6" t="s">
        <v>6851</v>
      </c>
      <c r="D1149" s="7" t="s">
        <v>9794</v>
      </c>
      <c r="E1149" s="1" t="s">
        <v>886</v>
      </c>
      <c r="F1149" s="1"/>
      <c r="G1149" s="1"/>
      <c r="J1149" s="1" t="s">
        <v>9795</v>
      </c>
      <c r="L1149" s="2" t="s">
        <v>9607</v>
      </c>
      <c r="P1149" s="7" t="s">
        <v>1241</v>
      </c>
      <c r="AV1149" s="1" t="s">
        <v>38</v>
      </c>
      <c r="BG1149" s="7" t="s">
        <v>1242</v>
      </c>
      <c r="BH1149" s="1" t="s">
        <v>5853</v>
      </c>
      <c r="BI1149" s="1" t="s">
        <v>5854</v>
      </c>
      <c r="BJ1149" s="1" t="s">
        <v>1877</v>
      </c>
      <c r="BK1149" s="2" t="s">
        <v>5855</v>
      </c>
    </row>
    <row r="1150" spans="1:69" ht="108" x14ac:dyDescent="0.45">
      <c r="A1150" s="5">
        <v>1149</v>
      </c>
      <c r="B1150" s="6" t="s">
        <v>887</v>
      </c>
      <c r="C1150" s="6" t="s">
        <v>6851</v>
      </c>
      <c r="D1150" s="7" t="s">
        <v>9794</v>
      </c>
      <c r="E1150" s="1" t="s">
        <v>887</v>
      </c>
      <c r="F1150" s="1"/>
      <c r="G1150" s="1"/>
      <c r="J1150" s="1" t="s">
        <v>9795</v>
      </c>
      <c r="K1150" s="1" t="s">
        <v>9608</v>
      </c>
      <c r="L1150" s="2" t="s">
        <v>9609</v>
      </c>
      <c r="P1150" s="7" t="s">
        <v>1241</v>
      </c>
      <c r="Q1150"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1150"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150"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1150"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U1150"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1150"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1150"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1150"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1150"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1150"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1150"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1150"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1150"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1150"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1150"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1150" s="1" t="s">
        <v>38</v>
      </c>
      <c r="BG1150" s="7" t="s">
        <v>1242</v>
      </c>
      <c r="BH1150" s="1" t="s">
        <v>1976</v>
      </c>
      <c r="BI1150" s="1" t="s">
        <v>3796</v>
      </c>
      <c r="BJ1150" s="1" t="s">
        <v>1947</v>
      </c>
      <c r="BK1150" s="1" t="s">
        <v>5856</v>
      </c>
      <c r="BL1150" s="1" t="s">
        <v>1959</v>
      </c>
      <c r="BM1150" s="2" t="s">
        <v>5857</v>
      </c>
      <c r="BN1150" s="1" t="s">
        <v>1875</v>
      </c>
      <c r="BO1150" s="2" t="s">
        <v>5858</v>
      </c>
      <c r="BP1150" s="1" t="s">
        <v>1877</v>
      </c>
      <c r="BQ1150" s="2" t="s">
        <v>5859</v>
      </c>
    </row>
    <row r="1151" spans="1:69" ht="216" x14ac:dyDescent="0.45">
      <c r="A1151" s="5">
        <v>1150</v>
      </c>
      <c r="B1151" s="6" t="s">
        <v>888</v>
      </c>
      <c r="C1151" s="6" t="s">
        <v>6851</v>
      </c>
      <c r="D1151" s="7" t="s">
        <v>9794</v>
      </c>
      <c r="E1151" s="1" t="s">
        <v>1678</v>
      </c>
      <c r="F1151" s="1" t="s">
        <v>5860</v>
      </c>
      <c r="G1151" s="1"/>
      <c r="J1151" s="1" t="s">
        <v>9795</v>
      </c>
      <c r="K1151" s="2" t="s">
        <v>9610</v>
      </c>
      <c r="L1151" s="2" t="s">
        <v>9611</v>
      </c>
      <c r="P1151" s="7" t="s">
        <v>1241</v>
      </c>
      <c r="Q1151" s="13" t="str">
        <f>INDEX($L:$L, MATCH("mineral", $B:$B, 0))</f>
        <v>&lt;span class="w"&gt;&lt;b&gt;【967.mineral：鉱物, ミネラル】&lt;/b&gt;&lt;/span&gt;
&lt;span class="ml"&gt;ラテン語にminera（鉱山）に由来する。
&lt;span class="spacer"&gt;&lt;/span&gt;この語の核は「鉱山で採掘されたもの」。そこから「鉱物, ミネラル」という意味になった。&lt;/span&gt;</v>
      </c>
      <c r="R1151" s="13"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V1151" s="1" t="s">
        <v>38</v>
      </c>
      <c r="BG1151" s="7" t="s">
        <v>1242</v>
      </c>
      <c r="BH1151" s="1" t="s">
        <v>1967</v>
      </c>
      <c r="BI1151" s="1" t="s">
        <v>5861</v>
      </c>
      <c r="BJ1151" s="1" t="s">
        <v>1959</v>
      </c>
      <c r="BK1151" s="2" t="s">
        <v>5862</v>
      </c>
      <c r="BL1151" s="1" t="s">
        <v>1875</v>
      </c>
      <c r="BM1151" s="2" t="s">
        <v>5863</v>
      </c>
      <c r="BN1151" s="1" t="s">
        <v>1877</v>
      </c>
      <c r="BO1151" s="2" t="s">
        <v>9612</v>
      </c>
    </row>
    <row r="1152" spans="1:69" ht="126" x14ac:dyDescent="0.45">
      <c r="A1152" s="5">
        <v>1151</v>
      </c>
      <c r="B1152" s="6" t="s">
        <v>889</v>
      </c>
      <c r="C1152" s="6" t="s">
        <v>6851</v>
      </c>
      <c r="D1152" s="7" t="s">
        <v>9794</v>
      </c>
      <c r="E1152" s="1" t="s">
        <v>9613</v>
      </c>
      <c r="F1152" s="1" t="s">
        <v>1584</v>
      </c>
      <c r="G1152" s="1"/>
      <c r="J1152" s="1" t="s">
        <v>9795</v>
      </c>
      <c r="L1152" s="3" t="s">
        <v>9614</v>
      </c>
      <c r="P1152" s="7" t="s">
        <v>1241</v>
      </c>
      <c r="AU1152" s="15"/>
      <c r="AV1152" s="1" t="s">
        <v>38</v>
      </c>
      <c r="BG1152" s="7" t="s">
        <v>1242</v>
      </c>
      <c r="BH1152" s="1" t="s">
        <v>1947</v>
      </c>
      <c r="BI1152" s="2" t="s">
        <v>9615</v>
      </c>
      <c r="BJ1152" s="1" t="s">
        <v>1959</v>
      </c>
      <c r="BK1152" s="1" t="s">
        <v>5864</v>
      </c>
      <c r="BL1152" s="1" t="s">
        <v>1875</v>
      </c>
      <c r="BM1152" s="2" t="s">
        <v>5865</v>
      </c>
    </row>
    <row r="1153" spans="1:67" ht="162" x14ac:dyDescent="0.45">
      <c r="A1153" s="5">
        <v>1152</v>
      </c>
      <c r="B1153" s="8" t="s">
        <v>890</v>
      </c>
      <c r="C1153" s="6" t="s">
        <v>6851</v>
      </c>
      <c r="D1153" s="7" t="s">
        <v>9794</v>
      </c>
      <c r="E1153" s="1" t="s">
        <v>5866</v>
      </c>
      <c r="F1153" s="1" t="s">
        <v>5867</v>
      </c>
      <c r="G1153" s="1"/>
      <c r="J1153" s="1" t="s">
        <v>9795</v>
      </c>
      <c r="L1153" s="3" t="s">
        <v>9616</v>
      </c>
      <c r="M1153" s="1" t="s">
        <v>12274</v>
      </c>
      <c r="P1153" s="7" t="s">
        <v>1241</v>
      </c>
      <c r="Q1153" s="13"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R1153" s="13"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S1153"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1153" s="13"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U1153"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1153"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W1153"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X1153"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Y1153"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Z1153"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AA1153"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AB1153"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AC1153"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AD1153"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AE1153"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1153" s="15"/>
      <c r="AV1153" s="1" t="s">
        <v>38</v>
      </c>
      <c r="BG1153" s="7" t="s">
        <v>1242</v>
      </c>
      <c r="BH1153" s="1" t="s">
        <v>1947</v>
      </c>
      <c r="BI1153" s="2" t="s">
        <v>5868</v>
      </c>
      <c r="BJ1153" s="1" t="s">
        <v>1959</v>
      </c>
      <c r="BK1153" s="1" t="s">
        <v>5869</v>
      </c>
      <c r="BL1153" s="1" t="s">
        <v>1875</v>
      </c>
      <c r="BM1153" s="2" t="s">
        <v>5870</v>
      </c>
    </row>
    <row r="1154" spans="1:67" ht="162" x14ac:dyDescent="0.45">
      <c r="A1154" s="5">
        <v>1153</v>
      </c>
      <c r="B1154" s="8" t="s">
        <v>891</v>
      </c>
      <c r="C1154" s="6" t="s">
        <v>6851</v>
      </c>
      <c r="D1154" s="7" t="s">
        <v>9794</v>
      </c>
      <c r="E1154" s="1" t="s">
        <v>46</v>
      </c>
      <c r="F1154" s="1" t="s">
        <v>5871</v>
      </c>
      <c r="G1154" s="1"/>
      <c r="J1154" s="1" t="s">
        <v>9795</v>
      </c>
      <c r="L1154" s="3" t="s">
        <v>9617</v>
      </c>
      <c r="M1154" s="1" t="s">
        <v>12260</v>
      </c>
      <c r="P1154" s="7" t="s">
        <v>1241</v>
      </c>
      <c r="Q1154"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1154" s="13"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S1154" s="13"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T1154" s="13"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U1154" s="13"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1154"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1154" s="15"/>
      <c r="AV1154" s="1" t="s">
        <v>38</v>
      </c>
      <c r="BG1154" s="7" t="s">
        <v>1242</v>
      </c>
      <c r="BH1154" s="1" t="s">
        <v>1947</v>
      </c>
      <c r="BI1154" s="2" t="s">
        <v>5872</v>
      </c>
      <c r="BJ1154" s="1" t="s">
        <v>1877</v>
      </c>
      <c r="BK1154" s="2" t="s">
        <v>5873</v>
      </c>
    </row>
    <row r="1155" spans="1:67" ht="144" x14ac:dyDescent="0.45">
      <c r="A1155" s="5">
        <v>1154</v>
      </c>
      <c r="B1155" s="6" t="s">
        <v>892</v>
      </c>
      <c r="C1155" s="6" t="s">
        <v>6851</v>
      </c>
      <c r="D1155" s="7" t="s">
        <v>9794</v>
      </c>
      <c r="E1155" s="1" t="s">
        <v>1251</v>
      </c>
      <c r="F1155" s="1" t="s">
        <v>1356</v>
      </c>
      <c r="G1155" s="1"/>
      <c r="J1155" s="1" t="s">
        <v>9795</v>
      </c>
      <c r="K1155" s="2" t="s">
        <v>9618</v>
      </c>
      <c r="L1155" s="3" t="s">
        <v>9619</v>
      </c>
      <c r="M1155" s="1" t="s">
        <v>12222</v>
      </c>
      <c r="P1155" s="7" t="s">
        <v>1241</v>
      </c>
      <c r="Q1155" s="13" t="str">
        <f>INDEX($L:$L, MATCH("detail", $B:$B, 0))</f>
        <v>&lt;span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v>
      </c>
      <c r="AU1155" s="15"/>
      <c r="AV1155" s="1" t="s">
        <v>38</v>
      </c>
      <c r="BG1155" s="7" t="s">
        <v>1242</v>
      </c>
      <c r="BH1155" s="1" t="s">
        <v>1959</v>
      </c>
      <c r="BI1155" s="2" t="s">
        <v>9620</v>
      </c>
      <c r="BJ1155" s="1" t="s">
        <v>1875</v>
      </c>
      <c r="BK1155" s="2" t="s">
        <v>5874</v>
      </c>
    </row>
    <row r="1156" spans="1:67" ht="108" x14ac:dyDescent="0.45">
      <c r="A1156" s="5">
        <v>1155</v>
      </c>
      <c r="B1156" s="6" t="s">
        <v>893</v>
      </c>
      <c r="C1156" s="6" t="s">
        <v>6851</v>
      </c>
      <c r="D1156" s="7" t="s">
        <v>9794</v>
      </c>
      <c r="E1156" s="1" t="s">
        <v>893</v>
      </c>
      <c r="F1156" s="1"/>
      <c r="G1156" s="1"/>
      <c r="J1156" s="1" t="s">
        <v>9795</v>
      </c>
      <c r="L1156" s="3" t="s">
        <v>9621</v>
      </c>
      <c r="P1156" s="7" t="s">
        <v>1241</v>
      </c>
      <c r="AV1156" s="1" t="s">
        <v>38</v>
      </c>
      <c r="BG1156" s="7" t="s">
        <v>1242</v>
      </c>
      <c r="BH1156" s="1" t="s">
        <v>1947</v>
      </c>
      <c r="BI1156" s="1" t="s">
        <v>5875</v>
      </c>
      <c r="BJ1156" s="1" t="s">
        <v>1967</v>
      </c>
      <c r="BK1156" s="1" t="s">
        <v>5876</v>
      </c>
      <c r="BL1156" s="1" t="s">
        <v>1875</v>
      </c>
      <c r="BM1156" s="2" t="s">
        <v>5877</v>
      </c>
      <c r="BN1156" s="1" t="s">
        <v>1877</v>
      </c>
      <c r="BO1156" s="2" t="s">
        <v>5878</v>
      </c>
    </row>
    <row r="1157" spans="1:67" ht="144" x14ac:dyDescent="0.45">
      <c r="A1157" s="5">
        <v>1156</v>
      </c>
      <c r="B1157" s="8" t="s">
        <v>894</v>
      </c>
      <c r="C1157" s="6" t="s">
        <v>6851</v>
      </c>
      <c r="D1157" s="7" t="s">
        <v>9794</v>
      </c>
      <c r="E1157" s="1" t="s">
        <v>894</v>
      </c>
      <c r="F1157" s="1"/>
      <c r="G1157" s="1"/>
      <c r="J1157" s="1" t="s">
        <v>9795</v>
      </c>
      <c r="L1157" s="2" t="s">
        <v>9622</v>
      </c>
      <c r="M1157" s="1" t="s">
        <v>12260</v>
      </c>
      <c r="P1157" s="7" t="s">
        <v>1241</v>
      </c>
      <c r="Q1157"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1157" s="13"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S1157" s="13"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T1157" s="13"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U1157" s="13"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1157"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AV1157" s="1" t="s">
        <v>38</v>
      </c>
      <c r="BG1157" s="7" t="s">
        <v>1242</v>
      </c>
      <c r="BH1157" s="1" t="s">
        <v>1947</v>
      </c>
      <c r="BI1157" s="1" t="s">
        <v>5879</v>
      </c>
      <c r="BJ1157" s="1" t="s">
        <v>1959</v>
      </c>
      <c r="BK1157" s="1" t="s">
        <v>5880</v>
      </c>
      <c r="BL1157" s="1" t="s">
        <v>1875</v>
      </c>
      <c r="BM1157" s="2" t="s">
        <v>5881</v>
      </c>
      <c r="BN1157" s="1" t="s">
        <v>1877</v>
      </c>
      <c r="BO1157" s="2" t="s">
        <v>9623</v>
      </c>
    </row>
    <row r="1158" spans="1:67" ht="144" x14ac:dyDescent="0.45">
      <c r="A1158" s="5">
        <v>1157</v>
      </c>
      <c r="B1158" s="6" t="s">
        <v>895</v>
      </c>
      <c r="C1158" s="6" t="s">
        <v>6851</v>
      </c>
      <c r="D1158" s="7" t="s">
        <v>9794</v>
      </c>
      <c r="E1158" s="1" t="s">
        <v>5882</v>
      </c>
      <c r="F1158" s="1" t="s">
        <v>1748</v>
      </c>
      <c r="G1158" s="1"/>
      <c r="J1158" s="1" t="s">
        <v>9795</v>
      </c>
      <c r="L1158" s="2" t="s">
        <v>9624</v>
      </c>
      <c r="P1158" s="7" t="s">
        <v>1241</v>
      </c>
      <c r="AV1158" s="1" t="s">
        <v>38</v>
      </c>
      <c r="BG1158" s="7" t="s">
        <v>1242</v>
      </c>
      <c r="BH1158" s="1" t="s">
        <v>1947</v>
      </c>
      <c r="BI1158" s="1" t="s">
        <v>5883</v>
      </c>
      <c r="BJ1158" s="1" t="s">
        <v>1959</v>
      </c>
      <c r="BK1158" s="1" t="s">
        <v>5884</v>
      </c>
      <c r="BL1158" s="1" t="s">
        <v>2114</v>
      </c>
      <c r="BM1158" s="1" t="s">
        <v>895</v>
      </c>
      <c r="BN1158" s="1" t="s">
        <v>1875</v>
      </c>
      <c r="BO1158" s="2" t="s">
        <v>5885</v>
      </c>
    </row>
    <row r="1159" spans="1:67" ht="144" x14ac:dyDescent="0.45">
      <c r="A1159" s="5">
        <v>1158</v>
      </c>
      <c r="B1159" s="6" t="s">
        <v>896</v>
      </c>
      <c r="C1159" s="6" t="s">
        <v>6851</v>
      </c>
      <c r="D1159" s="7" t="s">
        <v>9794</v>
      </c>
      <c r="E1159" s="1" t="s">
        <v>5886</v>
      </c>
      <c r="F1159" s="1" t="s">
        <v>5887</v>
      </c>
      <c r="G1159" s="1" t="s">
        <v>1517</v>
      </c>
      <c r="J1159" s="1" t="s">
        <v>9795</v>
      </c>
      <c r="L1159" s="2" t="s">
        <v>9625</v>
      </c>
      <c r="M1159" s="1" t="s">
        <v>12184</v>
      </c>
      <c r="P1159" s="7" t="s">
        <v>1241</v>
      </c>
      <c r="Q1159" s="13"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1159" s="13"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S1159" s="13"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T1159" s="13"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1159" s="13"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U1159" s="15"/>
      <c r="AV1159" s="1" t="s">
        <v>38</v>
      </c>
      <c r="BG1159" s="7" t="s">
        <v>1242</v>
      </c>
      <c r="BH1159" s="1" t="s">
        <v>1947</v>
      </c>
      <c r="BI1159" s="2" t="s">
        <v>5888</v>
      </c>
      <c r="BJ1159" s="1" t="s">
        <v>1875</v>
      </c>
      <c r="BK1159" s="2" t="s">
        <v>5889</v>
      </c>
      <c r="BL1159" s="1" t="s">
        <v>1877</v>
      </c>
      <c r="BM1159" s="2" t="s">
        <v>5890</v>
      </c>
    </row>
    <row r="1160" spans="1:67" ht="234" x14ac:dyDescent="0.45">
      <c r="A1160" s="5">
        <v>1159</v>
      </c>
      <c r="B1160" s="6" t="s">
        <v>897</v>
      </c>
      <c r="C1160" s="6" t="s">
        <v>6851</v>
      </c>
      <c r="D1160" s="7" t="s">
        <v>9794</v>
      </c>
      <c r="E1160" s="1" t="s">
        <v>1667</v>
      </c>
      <c r="F1160" s="1" t="s">
        <v>1612</v>
      </c>
      <c r="G1160" s="1" t="s">
        <v>9626</v>
      </c>
      <c r="J1160" s="1" t="s">
        <v>9795</v>
      </c>
      <c r="L1160" s="2" t="s">
        <v>9627</v>
      </c>
      <c r="P1160" s="7" t="s">
        <v>1241</v>
      </c>
      <c r="Q1160" s="13"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AU1160" s="15"/>
      <c r="AV1160" s="1" t="s">
        <v>38</v>
      </c>
      <c r="BG1160" s="7" t="s">
        <v>1242</v>
      </c>
      <c r="BH1160" s="1" t="s">
        <v>2458</v>
      </c>
      <c r="BI1160" s="2" t="s">
        <v>5891</v>
      </c>
      <c r="BJ1160" s="1" t="s">
        <v>5892</v>
      </c>
      <c r="BK1160" s="1" t="s">
        <v>5893</v>
      </c>
      <c r="BL1160" s="1" t="s">
        <v>5894</v>
      </c>
      <c r="BM1160" s="1" t="s">
        <v>897</v>
      </c>
      <c r="BN1160" s="1" t="s">
        <v>1877</v>
      </c>
      <c r="BO1160" s="2" t="s">
        <v>5895</v>
      </c>
    </row>
    <row r="1161" spans="1:67" ht="234" x14ac:dyDescent="0.45">
      <c r="A1161" s="5">
        <v>1160</v>
      </c>
      <c r="B1161" s="8" t="s">
        <v>898</v>
      </c>
      <c r="C1161" s="6" t="s">
        <v>6851</v>
      </c>
      <c r="D1161" s="7" t="s">
        <v>9794</v>
      </c>
      <c r="E1161" s="1" t="s">
        <v>898</v>
      </c>
      <c r="F1161" s="1"/>
      <c r="G1161" s="1"/>
      <c r="J1161" s="1" t="s">
        <v>9795</v>
      </c>
      <c r="L1161" s="3" t="s">
        <v>9628</v>
      </c>
      <c r="P1161" s="7" t="s">
        <v>1241</v>
      </c>
      <c r="Q1161" s="13" t="str">
        <f>INDEX($L:$L, MATCH("convince", $B:$B, 0))</f>
        <v>&lt;span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v>
      </c>
      <c r="AU1161" s="15"/>
      <c r="AV1161" s="1" t="s">
        <v>38</v>
      </c>
      <c r="BG1161" s="7" t="s">
        <v>1242</v>
      </c>
      <c r="BH1161" s="1" t="s">
        <v>1947</v>
      </c>
      <c r="BI1161" s="2" t="s">
        <v>5896</v>
      </c>
      <c r="BJ1161" s="1" t="s">
        <v>1959</v>
      </c>
      <c r="BK1161" s="2" t="s">
        <v>5897</v>
      </c>
      <c r="BL1161" s="1" t="s">
        <v>1875</v>
      </c>
      <c r="BM1161" s="2" t="s">
        <v>5898</v>
      </c>
      <c r="BN1161" s="1" t="s">
        <v>1877</v>
      </c>
      <c r="BO1161" s="2" t="s">
        <v>9629</v>
      </c>
    </row>
    <row r="1162" spans="1:67" ht="72" x14ac:dyDescent="0.45">
      <c r="A1162" s="5">
        <v>1161</v>
      </c>
      <c r="B1162" s="6" t="s">
        <v>899</v>
      </c>
      <c r="C1162" s="6" t="s">
        <v>6851</v>
      </c>
      <c r="D1162" s="7" t="s">
        <v>9794</v>
      </c>
      <c r="E1162" s="1" t="s">
        <v>899</v>
      </c>
      <c r="F1162" s="1"/>
      <c r="G1162" s="1"/>
      <c r="J1162" s="1" t="s">
        <v>9795</v>
      </c>
      <c r="K1162" s="3" t="s">
        <v>9630</v>
      </c>
      <c r="L1162" s="2" t="s">
        <v>9631</v>
      </c>
      <c r="P1162" s="7" t="s">
        <v>1241</v>
      </c>
      <c r="AV1162" s="1" t="s">
        <v>38</v>
      </c>
      <c r="BG1162" s="7" t="s">
        <v>1242</v>
      </c>
      <c r="BH1162" s="1" t="s">
        <v>2110</v>
      </c>
      <c r="BI1162" s="1" t="s">
        <v>9632</v>
      </c>
      <c r="BJ1162" s="1" t="s">
        <v>4971</v>
      </c>
      <c r="BK1162" s="1" t="s">
        <v>5899</v>
      </c>
      <c r="BL1162" s="1" t="s">
        <v>1877</v>
      </c>
      <c r="BM1162" s="2" t="s">
        <v>5900</v>
      </c>
    </row>
    <row r="1163" spans="1:67" ht="126" x14ac:dyDescent="0.45">
      <c r="A1163" s="5">
        <v>1162</v>
      </c>
      <c r="B1163" s="6" t="s">
        <v>900</v>
      </c>
      <c r="C1163" s="6" t="s">
        <v>6851</v>
      </c>
      <c r="D1163" s="7" t="s">
        <v>9794</v>
      </c>
      <c r="E1163" s="1" t="s">
        <v>5901</v>
      </c>
      <c r="F1163" s="1" t="s">
        <v>1612</v>
      </c>
      <c r="G1163" s="1"/>
      <c r="J1163" s="1" t="s">
        <v>9795</v>
      </c>
      <c r="L1163" s="2" t="s">
        <v>9633</v>
      </c>
      <c r="P1163" s="7" t="s">
        <v>1241</v>
      </c>
      <c r="Q1163" s="13" t="str">
        <f>INDEX($L:$L, MATCH("biological", $B:$B, 0))</f>
        <v>&lt;span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v>
      </c>
      <c r="R1163" s="13" t="str">
        <f>INDEX($L:$L, MATCH("antibiotic", $B:$B, 0))</f>
        <v>&lt;span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v>
      </c>
      <c r="AU1163" s="15"/>
      <c r="AV1163" s="1" t="s">
        <v>38</v>
      </c>
      <c r="BG1163" s="7" t="s">
        <v>1242</v>
      </c>
      <c r="BH1163" s="1" t="s">
        <v>2458</v>
      </c>
      <c r="BI1163" s="2" t="s">
        <v>5902</v>
      </c>
      <c r="BJ1163" s="1" t="s">
        <v>1996</v>
      </c>
      <c r="BK1163" s="2" t="s">
        <v>9634</v>
      </c>
      <c r="BL1163" s="1" t="s">
        <v>1877</v>
      </c>
      <c r="BM1163" s="2" t="s">
        <v>5903</v>
      </c>
    </row>
    <row r="1164" spans="1:67" ht="144" x14ac:dyDescent="0.45">
      <c r="A1164" s="5">
        <v>1163</v>
      </c>
      <c r="B1164" s="8" t="s">
        <v>901</v>
      </c>
      <c r="C1164" s="6" t="s">
        <v>6851</v>
      </c>
      <c r="D1164" s="7" t="s">
        <v>9794</v>
      </c>
      <c r="E1164" s="1" t="s">
        <v>1413</v>
      </c>
      <c r="F1164" s="1" t="s">
        <v>1357</v>
      </c>
      <c r="G1164" s="1"/>
      <c r="J1164" s="1" t="s">
        <v>9795</v>
      </c>
      <c r="K1164" s="1" t="s">
        <v>9635</v>
      </c>
      <c r="L1164" s="2" t="s">
        <v>9636</v>
      </c>
      <c r="M1164" s="1" t="s">
        <v>12223</v>
      </c>
      <c r="P1164" s="7" t="s">
        <v>1241</v>
      </c>
      <c r="Q1164"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164"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164"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164"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U1164"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V1164"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1164"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164"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1164"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164"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164" s="15"/>
      <c r="AV1164" s="1" t="s">
        <v>38</v>
      </c>
      <c r="BG1164" s="7" t="s">
        <v>1242</v>
      </c>
      <c r="BH1164" s="1" t="s">
        <v>1947</v>
      </c>
      <c r="BI1164" s="2" t="s">
        <v>5904</v>
      </c>
      <c r="BJ1164" s="1" t="s">
        <v>1959</v>
      </c>
      <c r="BK1164" s="2" t="s">
        <v>5905</v>
      </c>
      <c r="BL1164" s="1" t="s">
        <v>1875</v>
      </c>
      <c r="BM1164" s="2" t="s">
        <v>5906</v>
      </c>
    </row>
    <row r="1165" spans="1:67" ht="162" x14ac:dyDescent="0.45">
      <c r="A1165" s="5">
        <v>1164</v>
      </c>
      <c r="B1165" s="6" t="s">
        <v>902</v>
      </c>
      <c r="C1165" s="6" t="s">
        <v>6851</v>
      </c>
      <c r="D1165" s="7" t="s">
        <v>9794</v>
      </c>
      <c r="E1165" s="1" t="s">
        <v>902</v>
      </c>
      <c r="F1165" s="1"/>
      <c r="G1165" s="1"/>
      <c r="J1165" s="1" t="s">
        <v>9795</v>
      </c>
      <c r="K1165" s="2" t="s">
        <v>9637</v>
      </c>
      <c r="L1165" s="3" t="s">
        <v>9638</v>
      </c>
      <c r="P1165" s="7" t="s">
        <v>1241</v>
      </c>
      <c r="AV1165" s="1" t="s">
        <v>38</v>
      </c>
      <c r="BG1165" s="7" t="s">
        <v>1242</v>
      </c>
      <c r="BH1165" s="1" t="s">
        <v>1967</v>
      </c>
      <c r="BI1165" s="1" t="s">
        <v>5907</v>
      </c>
      <c r="BJ1165" s="1" t="s">
        <v>1959</v>
      </c>
      <c r="BK1165" s="2" t="s">
        <v>5908</v>
      </c>
      <c r="BL1165" s="1" t="s">
        <v>1875</v>
      </c>
      <c r="BM1165" s="2" t="s">
        <v>5909</v>
      </c>
      <c r="BN1165" s="1" t="s">
        <v>1877</v>
      </c>
      <c r="BO1165" s="2" t="s">
        <v>5910</v>
      </c>
    </row>
    <row r="1166" spans="1:67" ht="90" x14ac:dyDescent="0.45">
      <c r="A1166" s="5">
        <v>1165</v>
      </c>
      <c r="B1166" s="6" t="s">
        <v>903</v>
      </c>
      <c r="C1166" s="6" t="s">
        <v>6851</v>
      </c>
      <c r="D1166" s="7" t="s">
        <v>9794</v>
      </c>
      <c r="E1166" s="1" t="s">
        <v>903</v>
      </c>
      <c r="F1166" s="1"/>
      <c r="G1166" s="1"/>
      <c r="J1166" s="1" t="s">
        <v>9795</v>
      </c>
      <c r="K1166" s="1" t="s">
        <v>5911</v>
      </c>
      <c r="L1166" s="2" t="s">
        <v>9639</v>
      </c>
      <c r="P1166" s="7" t="s">
        <v>1241</v>
      </c>
      <c r="AV1166" s="1" t="s">
        <v>38</v>
      </c>
      <c r="BG1166" s="7" t="s">
        <v>1242</v>
      </c>
      <c r="BH1166" s="1" t="s">
        <v>1947</v>
      </c>
      <c r="BI1166" s="1" t="s">
        <v>5912</v>
      </c>
      <c r="BJ1166" s="1" t="s">
        <v>1959</v>
      </c>
      <c r="BK1166" s="2" t="s">
        <v>5913</v>
      </c>
      <c r="BL1166" s="1" t="s">
        <v>1875</v>
      </c>
      <c r="BM1166" s="2" t="s">
        <v>5914</v>
      </c>
    </row>
    <row r="1167" spans="1:67" ht="126" x14ac:dyDescent="0.45">
      <c r="A1167" s="5">
        <v>1166</v>
      </c>
      <c r="B1167" s="6" t="s">
        <v>904</v>
      </c>
      <c r="C1167" s="6" t="s">
        <v>6851</v>
      </c>
      <c r="D1167" s="7" t="s">
        <v>9794</v>
      </c>
      <c r="E1167" s="1" t="s">
        <v>5915</v>
      </c>
      <c r="F1167" s="1" t="s">
        <v>1856</v>
      </c>
      <c r="G1167" s="1"/>
      <c r="J1167" s="1" t="s">
        <v>9795</v>
      </c>
      <c r="L1167" s="2" t="s">
        <v>9640</v>
      </c>
      <c r="P1167" s="7" t="s">
        <v>1241</v>
      </c>
      <c r="Q1167" s="13" t="str">
        <f>INDEX($L:$L, MATCH("outline", $B:$B, 0))</f>
        <v>&lt;span class="w"&gt;&lt;b&gt;【1320.outline：〜の要点を述べる, 〜の輪郭を描く】&lt;/b&gt;&lt;/span&gt;
&lt;span class="ml"&gt;近代英語にさかのぼり、以下の2つの要素から成る。
&lt;span class="spacer"&gt;&lt;/span&gt;out（外側に）
line（線を引く）
&lt;span class="spacer"&gt;&lt;/span&gt;絵を描く際に、対象の外側を囲む線を引くことから「輪郭を描く」という意味になった。
&lt;span class="spacer"&gt;&lt;/span&gt;また対象の輪郭を描くことが、細かい部分を省いて対象の全体像を示すことへとつながって、物事の「要点を述べる」という意味にもなった。&lt;/span&gt;</v>
      </c>
      <c r="AU1167" s="15"/>
      <c r="AV1167" s="1" t="s">
        <v>38</v>
      </c>
      <c r="BG1167" s="7" t="s">
        <v>1242</v>
      </c>
      <c r="BH1167" s="1" t="s">
        <v>1877</v>
      </c>
      <c r="BI1167" s="2" t="s">
        <v>5916</v>
      </c>
    </row>
    <row r="1168" spans="1:67" ht="108" x14ac:dyDescent="0.45">
      <c r="A1168" s="5">
        <v>1167</v>
      </c>
      <c r="B1168" s="6" t="s">
        <v>905</v>
      </c>
      <c r="C1168" s="6" t="s">
        <v>6851</v>
      </c>
      <c r="D1168" s="7" t="s">
        <v>9794</v>
      </c>
      <c r="E1168" s="1" t="s">
        <v>5001</v>
      </c>
      <c r="F1168" s="1" t="s">
        <v>5917</v>
      </c>
      <c r="G1168" s="1"/>
      <c r="J1168" s="1" t="s">
        <v>9795</v>
      </c>
      <c r="K1168" s="1" t="s">
        <v>5918</v>
      </c>
      <c r="L1168" s="2" t="s">
        <v>9641</v>
      </c>
      <c r="M1168" s="1" t="s">
        <v>12239</v>
      </c>
      <c r="P1168" s="7" t="s">
        <v>1241</v>
      </c>
      <c r="Q1168" s="13"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1168" s="13"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1168" s="13"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T1168" s="13"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U1168" s="13"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AU1168" s="15"/>
      <c r="AV1168" s="1" t="s">
        <v>38</v>
      </c>
      <c r="BG1168" s="7" t="s">
        <v>1242</v>
      </c>
      <c r="BH1168" s="1" t="s">
        <v>1947</v>
      </c>
      <c r="BI1168" s="2" t="s">
        <v>5919</v>
      </c>
      <c r="BJ1168" s="1" t="s">
        <v>1967</v>
      </c>
      <c r="BK1168" s="1" t="s">
        <v>5920</v>
      </c>
      <c r="BL1168" s="1" t="s">
        <v>1875</v>
      </c>
      <c r="BM1168" s="2" t="s">
        <v>5921</v>
      </c>
      <c r="BN1168" s="1" t="s">
        <v>1877</v>
      </c>
      <c r="BO1168" s="2" t="s">
        <v>5922</v>
      </c>
    </row>
    <row r="1169" spans="1:69" ht="126" x14ac:dyDescent="0.45">
      <c r="A1169" s="5">
        <v>1168</v>
      </c>
      <c r="B1169" s="6" t="s">
        <v>906</v>
      </c>
      <c r="C1169" s="6" t="s">
        <v>6851</v>
      </c>
      <c r="D1169" s="7" t="s">
        <v>9794</v>
      </c>
      <c r="E1169" s="1" t="s">
        <v>5923</v>
      </c>
      <c r="F1169" s="1" t="s">
        <v>1927</v>
      </c>
      <c r="G1169" s="1"/>
      <c r="J1169" s="1" t="s">
        <v>9795</v>
      </c>
      <c r="K1169" s="1" t="s">
        <v>5924</v>
      </c>
      <c r="L1169" s="2" t="s">
        <v>9642</v>
      </c>
      <c r="P1169" s="7" t="s">
        <v>1241</v>
      </c>
      <c r="AV1169" s="1" t="s">
        <v>38</v>
      </c>
      <c r="BG1169" s="7" t="s">
        <v>1242</v>
      </c>
      <c r="BH1169" s="1" t="s">
        <v>5925</v>
      </c>
      <c r="BI1169" s="1" t="s">
        <v>5926</v>
      </c>
      <c r="BJ1169" s="1" t="s">
        <v>1959</v>
      </c>
      <c r="BK1169" s="2" t="s">
        <v>5927</v>
      </c>
      <c r="BL1169" s="1" t="s">
        <v>1875</v>
      </c>
      <c r="BM1169" s="2" t="s">
        <v>5928</v>
      </c>
      <c r="BN1169" s="1" t="s">
        <v>1877</v>
      </c>
      <c r="BO1169" s="2" t="s">
        <v>5929</v>
      </c>
    </row>
    <row r="1170" spans="1:69" ht="180" x14ac:dyDescent="0.45">
      <c r="A1170" s="5">
        <v>1169</v>
      </c>
      <c r="B1170" s="6" t="s">
        <v>907</v>
      </c>
      <c r="C1170" s="6" t="s">
        <v>6851</v>
      </c>
      <c r="D1170" s="7" t="s">
        <v>9794</v>
      </c>
      <c r="E1170" s="1" t="s">
        <v>907</v>
      </c>
      <c r="F1170" s="1"/>
      <c r="G1170" s="1"/>
      <c r="J1170" s="1" t="s">
        <v>9795</v>
      </c>
      <c r="L1170" s="2" t="s">
        <v>9643</v>
      </c>
      <c r="P1170" s="7" t="s">
        <v>1241</v>
      </c>
      <c r="Q1170" s="13" t="str">
        <f>INDEX($L:$L, MATCH("predator", $B:$B, 0))</f>
        <v>&lt;span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v>
      </c>
      <c r="AU1170" s="15"/>
      <c r="AV1170" s="1" t="s">
        <v>38</v>
      </c>
      <c r="BG1170" s="7" t="s">
        <v>1242</v>
      </c>
      <c r="BH1170" s="1" t="s">
        <v>1947</v>
      </c>
      <c r="BI1170" s="2" t="s">
        <v>5930</v>
      </c>
      <c r="BJ1170" s="1" t="s">
        <v>1959</v>
      </c>
      <c r="BK1170" s="2" t="s">
        <v>5931</v>
      </c>
      <c r="BL1170" s="1" t="s">
        <v>1875</v>
      </c>
      <c r="BM1170" s="2" t="s">
        <v>5932</v>
      </c>
    </row>
    <row r="1171" spans="1:69" ht="180" x14ac:dyDescent="0.45">
      <c r="A1171" s="5">
        <v>1170</v>
      </c>
      <c r="B1171" s="6" t="s">
        <v>908</v>
      </c>
      <c r="C1171" s="6" t="s">
        <v>6851</v>
      </c>
      <c r="D1171" s="7" t="s">
        <v>9794</v>
      </c>
      <c r="E1171" s="1" t="s">
        <v>908</v>
      </c>
      <c r="F1171" s="1"/>
      <c r="G1171" s="1"/>
      <c r="J1171" s="1" t="s">
        <v>9795</v>
      </c>
      <c r="L1171" s="3" t="s">
        <v>12143</v>
      </c>
      <c r="M1171" s="1" t="s">
        <v>12268</v>
      </c>
      <c r="P1171" s="7" t="s">
        <v>1241</v>
      </c>
      <c r="Q1171" s="13"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R1171" s="13"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S1171" s="13"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T1171" s="13"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AV1171" s="1" t="s">
        <v>38</v>
      </c>
      <c r="BG1171" s="7" t="s">
        <v>1242</v>
      </c>
      <c r="BH1171" s="1" t="s">
        <v>1947</v>
      </c>
      <c r="BI1171" s="1" t="s">
        <v>5933</v>
      </c>
      <c r="BJ1171" s="1" t="s">
        <v>2036</v>
      </c>
      <c r="BK1171" s="1" t="s">
        <v>9644</v>
      </c>
      <c r="BL1171" s="1" t="s">
        <v>1959</v>
      </c>
      <c r="BM1171" s="2" t="s">
        <v>5934</v>
      </c>
      <c r="BN1171" s="1" t="s">
        <v>1875</v>
      </c>
      <c r="BO1171" s="2" t="s">
        <v>5935</v>
      </c>
      <c r="BP1171" s="1" t="s">
        <v>1877</v>
      </c>
      <c r="BQ1171" s="2" t="s">
        <v>5936</v>
      </c>
    </row>
    <row r="1172" spans="1:69" ht="162" x14ac:dyDescent="0.45">
      <c r="A1172" s="5">
        <v>1171</v>
      </c>
      <c r="B1172" s="8" t="s">
        <v>909</v>
      </c>
      <c r="C1172" s="6" t="s">
        <v>6851</v>
      </c>
      <c r="D1172" s="7" t="s">
        <v>9794</v>
      </c>
      <c r="E1172" s="1" t="s">
        <v>1251</v>
      </c>
      <c r="F1172" s="1" t="s">
        <v>1357</v>
      </c>
      <c r="G1172" s="1" t="s">
        <v>1584</v>
      </c>
      <c r="J1172" s="1" t="s">
        <v>9795</v>
      </c>
      <c r="L1172" s="3" t="s">
        <v>9645</v>
      </c>
      <c r="M1172" s="1" t="s">
        <v>12223</v>
      </c>
      <c r="P1172" s="7" t="s">
        <v>1241</v>
      </c>
      <c r="Q1172"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172"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172"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172"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1172"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V1172"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1172"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172"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1172"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172"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172" s="15"/>
      <c r="AV1172" s="1" t="s">
        <v>38</v>
      </c>
      <c r="BG1172" s="7" t="s">
        <v>1242</v>
      </c>
      <c r="BH1172" s="1" t="s">
        <v>1947</v>
      </c>
      <c r="BI1172" s="2" t="s">
        <v>5937</v>
      </c>
      <c r="BJ1172" s="1" t="s">
        <v>1996</v>
      </c>
      <c r="BK1172" s="1" t="s">
        <v>5938</v>
      </c>
      <c r="BL1172" s="1" t="s">
        <v>1877</v>
      </c>
      <c r="BM1172" s="2" t="s">
        <v>5939</v>
      </c>
      <c r="BN1172" s="1" t="s">
        <v>3497</v>
      </c>
      <c r="BO1172" s="2" t="s">
        <v>5940</v>
      </c>
    </row>
    <row r="1173" spans="1:69" ht="144" x14ac:dyDescent="0.45">
      <c r="A1173" s="5">
        <v>1172</v>
      </c>
      <c r="B1173" s="8" t="s">
        <v>910</v>
      </c>
      <c r="C1173" s="6" t="s">
        <v>6851</v>
      </c>
      <c r="D1173" s="7" t="s">
        <v>9794</v>
      </c>
      <c r="E1173" s="1" t="s">
        <v>1251</v>
      </c>
      <c r="F1173" s="1" t="s">
        <v>103</v>
      </c>
      <c r="G1173" s="1"/>
      <c r="J1173" s="1" t="s">
        <v>9795</v>
      </c>
      <c r="L1173" s="3" t="s">
        <v>9646</v>
      </c>
      <c r="M1173" s="1" t="s">
        <v>12208</v>
      </c>
      <c r="P1173" s="7" t="s">
        <v>1241</v>
      </c>
      <c r="Q1173" s="13"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173" s="13"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S1173" s="13"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T1173"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U1173" s="13"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1173" s="13"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U1173" s="15"/>
      <c r="AV1173" s="1" t="s">
        <v>38</v>
      </c>
      <c r="BG1173" s="7" t="s">
        <v>1242</v>
      </c>
      <c r="BH1173" s="1" t="s">
        <v>1947</v>
      </c>
      <c r="BI1173" s="2" t="s">
        <v>9647</v>
      </c>
      <c r="BJ1173" s="1" t="s">
        <v>1959</v>
      </c>
      <c r="BK1173" s="2" t="s">
        <v>5941</v>
      </c>
      <c r="BL1173" s="1" t="s">
        <v>1875</v>
      </c>
      <c r="BM1173" s="2" t="s">
        <v>5942</v>
      </c>
    </row>
    <row r="1174" spans="1:69" ht="108" x14ac:dyDescent="0.45">
      <c r="A1174" s="5">
        <v>1173</v>
      </c>
      <c r="B1174" s="6" t="s">
        <v>911</v>
      </c>
      <c r="C1174" s="6" t="s">
        <v>6851</v>
      </c>
      <c r="D1174" s="7" t="s">
        <v>9794</v>
      </c>
      <c r="E1174" s="1" t="s">
        <v>911</v>
      </c>
      <c r="F1174" s="1"/>
      <c r="G1174" s="1"/>
      <c r="J1174" s="1" t="s">
        <v>9795</v>
      </c>
      <c r="L1174" s="3" t="s">
        <v>9648</v>
      </c>
      <c r="P1174" s="7" t="s">
        <v>1241</v>
      </c>
      <c r="AV1174" s="1" t="s">
        <v>38</v>
      </c>
      <c r="BG1174" s="7" t="s">
        <v>1242</v>
      </c>
      <c r="BH1174" s="1" t="s">
        <v>1872</v>
      </c>
      <c r="BI1174" s="1" t="s">
        <v>5943</v>
      </c>
    </row>
    <row r="1175" spans="1:69" ht="180" x14ac:dyDescent="0.45">
      <c r="A1175" s="5">
        <v>1174</v>
      </c>
      <c r="B1175" s="6" t="s">
        <v>912</v>
      </c>
      <c r="C1175" s="6" t="s">
        <v>6851</v>
      </c>
      <c r="D1175" s="7" t="s">
        <v>9794</v>
      </c>
      <c r="E1175" s="1" t="s">
        <v>912</v>
      </c>
      <c r="F1175" s="1"/>
      <c r="G1175" s="1"/>
      <c r="J1175" s="1" t="s">
        <v>9795</v>
      </c>
      <c r="L1175" s="3" t="s">
        <v>9649</v>
      </c>
      <c r="P1175" s="7" t="s">
        <v>1241</v>
      </c>
      <c r="AV1175" s="1" t="s">
        <v>38</v>
      </c>
      <c r="BG1175" s="7" t="s">
        <v>1242</v>
      </c>
      <c r="BH1175" s="1" t="s">
        <v>1947</v>
      </c>
      <c r="BI1175" s="1" t="s">
        <v>5944</v>
      </c>
      <c r="BJ1175" s="1" t="s">
        <v>1959</v>
      </c>
      <c r="BK1175" s="2" t="s">
        <v>5945</v>
      </c>
      <c r="BL1175" s="1" t="s">
        <v>1875</v>
      </c>
      <c r="BM1175" s="2" t="s">
        <v>5946</v>
      </c>
      <c r="BN1175" s="1" t="s">
        <v>1877</v>
      </c>
      <c r="BO1175" s="2" t="s">
        <v>5947</v>
      </c>
    </row>
    <row r="1176" spans="1:69" ht="198" x14ac:dyDescent="0.45">
      <c r="A1176" s="5">
        <v>1175</v>
      </c>
      <c r="B1176" s="6" t="s">
        <v>913</v>
      </c>
      <c r="C1176" s="6" t="s">
        <v>6851</v>
      </c>
      <c r="D1176" s="7" t="s">
        <v>9794</v>
      </c>
      <c r="E1176" s="1" t="s">
        <v>5948</v>
      </c>
      <c r="F1176" s="1" t="s">
        <v>1927</v>
      </c>
      <c r="G1176" s="1"/>
      <c r="J1176" s="1" t="s">
        <v>9795</v>
      </c>
      <c r="K1176" s="1" t="s">
        <v>5949</v>
      </c>
      <c r="L1176" s="2" t="s">
        <v>9650</v>
      </c>
      <c r="P1176" s="7" t="s">
        <v>1241</v>
      </c>
      <c r="Q1176" s="13" t="str">
        <f>INDEX($L:$L, MATCH("scenario", $B:$B, 0))</f>
        <v>&lt;span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v>
      </c>
      <c r="AV1176" s="1" t="s">
        <v>38</v>
      </c>
      <c r="BG1176" s="7" t="s">
        <v>1242</v>
      </c>
      <c r="BH1176" s="1" t="s">
        <v>2423</v>
      </c>
      <c r="BI1176" s="1" t="s">
        <v>9651</v>
      </c>
      <c r="BJ1176" s="1" t="s">
        <v>1947</v>
      </c>
      <c r="BK1176" s="1" t="s">
        <v>5950</v>
      </c>
      <c r="BL1176" s="1" t="s">
        <v>1996</v>
      </c>
      <c r="BM1176" s="2" t="s">
        <v>5951</v>
      </c>
      <c r="BN1176" s="1" t="s">
        <v>1877</v>
      </c>
      <c r="BO1176" s="2" t="s">
        <v>5952</v>
      </c>
    </row>
    <row r="1177" spans="1:69" ht="144" x14ac:dyDescent="0.45">
      <c r="A1177" s="5">
        <v>1176</v>
      </c>
      <c r="B1177" s="6" t="s">
        <v>914</v>
      </c>
      <c r="C1177" s="6" t="s">
        <v>6851</v>
      </c>
      <c r="D1177" s="7" t="s">
        <v>9794</v>
      </c>
      <c r="E1177" s="1" t="s">
        <v>914</v>
      </c>
      <c r="F1177" s="1"/>
      <c r="G1177" s="1"/>
      <c r="J1177" s="1" t="s">
        <v>9795</v>
      </c>
      <c r="L1177" s="2" t="s">
        <v>9652</v>
      </c>
      <c r="P1177" s="7" t="s">
        <v>1241</v>
      </c>
      <c r="AV1177" s="1" t="s">
        <v>38</v>
      </c>
      <c r="BG1177" s="7" t="s">
        <v>1242</v>
      </c>
      <c r="BH1177" s="1" t="s">
        <v>9653</v>
      </c>
      <c r="BI1177" s="1" t="s">
        <v>5953</v>
      </c>
      <c r="BJ1177" s="1" t="s">
        <v>1877</v>
      </c>
      <c r="BK1177" s="2" t="s">
        <v>5954</v>
      </c>
    </row>
    <row r="1178" spans="1:69" ht="126" x14ac:dyDescent="0.45">
      <c r="A1178" s="5">
        <v>1177</v>
      </c>
      <c r="B1178" s="6" t="s">
        <v>915</v>
      </c>
      <c r="C1178" s="6" t="s">
        <v>6851</v>
      </c>
      <c r="D1178" s="7" t="s">
        <v>9794</v>
      </c>
      <c r="E1178" s="1" t="s">
        <v>5955</v>
      </c>
      <c r="F1178" s="1" t="s">
        <v>5232</v>
      </c>
      <c r="G1178" s="1"/>
      <c r="J1178" s="1" t="s">
        <v>9795</v>
      </c>
      <c r="L1178" s="2" t="s">
        <v>9654</v>
      </c>
      <c r="P1178" s="7" t="s">
        <v>1241</v>
      </c>
      <c r="AU1178" s="15"/>
      <c r="AV1178" s="1" t="s">
        <v>38</v>
      </c>
      <c r="BG1178" s="7" t="s">
        <v>1242</v>
      </c>
      <c r="BH1178" s="1" t="s">
        <v>1947</v>
      </c>
      <c r="BI1178" s="2" t="s">
        <v>5956</v>
      </c>
      <c r="BJ1178" s="1" t="s">
        <v>1875</v>
      </c>
      <c r="BK1178" s="2" t="s">
        <v>5957</v>
      </c>
      <c r="BL1178" s="1" t="s">
        <v>1877</v>
      </c>
      <c r="BM1178" s="2" t="s">
        <v>5958</v>
      </c>
    </row>
    <row r="1179" spans="1:69" ht="162" x14ac:dyDescent="0.45">
      <c r="A1179" s="5">
        <v>1178</v>
      </c>
      <c r="B1179" s="6" t="s">
        <v>916</v>
      </c>
      <c r="C1179" s="6" t="s">
        <v>6851</v>
      </c>
      <c r="D1179" s="7" t="s">
        <v>9794</v>
      </c>
      <c r="E1179" s="1" t="s">
        <v>916</v>
      </c>
      <c r="F1179" s="1"/>
      <c r="G1179" s="1"/>
      <c r="J1179" s="1" t="s">
        <v>9795</v>
      </c>
      <c r="K1179" s="1" t="s">
        <v>9655</v>
      </c>
      <c r="L1179" s="3" t="s">
        <v>9656</v>
      </c>
      <c r="P1179" s="7" t="s">
        <v>1241</v>
      </c>
      <c r="AV1179" s="1" t="s">
        <v>38</v>
      </c>
      <c r="BG1179" s="7" t="s">
        <v>1242</v>
      </c>
      <c r="BH1179" s="1" t="s">
        <v>1947</v>
      </c>
      <c r="BI1179" s="1" t="s">
        <v>5959</v>
      </c>
      <c r="BJ1179" s="1" t="s">
        <v>1967</v>
      </c>
      <c r="BK1179" s="2" t="s">
        <v>5960</v>
      </c>
      <c r="BL1179" s="1" t="s">
        <v>1959</v>
      </c>
      <c r="BM1179" s="1" t="s">
        <v>5961</v>
      </c>
      <c r="BN1179" s="1" t="s">
        <v>1875</v>
      </c>
      <c r="BO1179" s="2" t="s">
        <v>5962</v>
      </c>
      <c r="BP1179" s="1" t="s">
        <v>1877</v>
      </c>
      <c r="BQ1179" s="2" t="s">
        <v>5963</v>
      </c>
    </row>
    <row r="1180" spans="1:69" ht="90" x14ac:dyDescent="0.45">
      <c r="A1180" s="5">
        <v>1179</v>
      </c>
      <c r="B1180" s="8" t="s">
        <v>917</v>
      </c>
      <c r="C1180" s="6" t="s">
        <v>6852</v>
      </c>
      <c r="D1180" s="7" t="s">
        <v>9794</v>
      </c>
      <c r="E1180" s="1" t="s">
        <v>917</v>
      </c>
      <c r="F1180" s="1"/>
      <c r="G1180" s="1"/>
      <c r="J1180" s="1" t="s">
        <v>9795</v>
      </c>
      <c r="K1180" s="1" t="s">
        <v>5964</v>
      </c>
      <c r="L1180" s="2" t="s">
        <v>9660</v>
      </c>
      <c r="P1180" s="7" t="s">
        <v>1241</v>
      </c>
      <c r="AV1180" s="1" t="s">
        <v>38</v>
      </c>
      <c r="BG1180" s="7" t="s">
        <v>1242</v>
      </c>
      <c r="BH1180" s="1" t="s">
        <v>1947</v>
      </c>
      <c r="BI1180" s="1" t="s">
        <v>5965</v>
      </c>
      <c r="BJ1180" s="1" t="s">
        <v>1875</v>
      </c>
      <c r="BK1180" s="2" t="s">
        <v>5966</v>
      </c>
    </row>
    <row r="1181" spans="1:69" ht="108" x14ac:dyDescent="0.45">
      <c r="A1181" s="5">
        <v>1180</v>
      </c>
      <c r="B1181" s="6" t="s">
        <v>918</v>
      </c>
      <c r="C1181" s="6" t="s">
        <v>6852</v>
      </c>
      <c r="D1181" s="7" t="s">
        <v>9794</v>
      </c>
      <c r="E1181" s="1" t="s">
        <v>5967</v>
      </c>
      <c r="F1181" s="1" t="s">
        <v>5968</v>
      </c>
      <c r="G1181" s="1"/>
      <c r="J1181" s="1" t="s">
        <v>9795</v>
      </c>
      <c r="K1181" s="1" t="s">
        <v>5969</v>
      </c>
      <c r="L1181" s="2" t="s">
        <v>9661</v>
      </c>
      <c r="M1181" s="1" t="s">
        <v>12241</v>
      </c>
      <c r="P1181" s="7" t="s">
        <v>1241</v>
      </c>
      <c r="Q1181" s="13" t="str">
        <f>INDEX($L:$L, MATCH("extra", $B:$B, 0))</f>
        <v>&lt;span class="w"&gt;&lt;b&gt;【284.extra：追加の, 余分の】&lt;/b&gt;&lt;/span&gt;
&lt;span class="ml"&gt;ラテン語ex（外の）から派生したexterus（外側の）に由来する。
&lt;span class="spacer"&gt;&lt;/span&gt;「外側の」から、ある範囲を超えている＝「追加の, 余分の」という意味になる。&lt;/span&gt;</v>
      </c>
      <c r="R1181" s="13" t="str">
        <f>INDEX($L:$L, MATCH("extreme", $B:$B, 0))</f>
        <v>&lt;span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v>
      </c>
      <c r="S1181" s="13" t="str">
        <f>INDEX($L:$L, MATCH("external", $B:$B, 0))</f>
        <v>&lt;span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v>
      </c>
      <c r="AU1181" s="15"/>
      <c r="AV1181" s="1" t="s">
        <v>38</v>
      </c>
      <c r="BG1181" s="7" t="s">
        <v>1242</v>
      </c>
      <c r="BH1181" s="1" t="s">
        <v>2458</v>
      </c>
      <c r="BI1181" s="2" t="s">
        <v>5970</v>
      </c>
      <c r="BJ1181" s="1" t="s">
        <v>1947</v>
      </c>
      <c r="BK1181" s="1" t="s">
        <v>5971</v>
      </c>
      <c r="BL1181" s="1" t="s">
        <v>1996</v>
      </c>
      <c r="BM1181" s="2" t="s">
        <v>5972</v>
      </c>
      <c r="BN1181" s="1" t="s">
        <v>1877</v>
      </c>
      <c r="BO1181" s="2" t="s">
        <v>5973</v>
      </c>
    </row>
    <row r="1182" spans="1:69" ht="144" x14ac:dyDescent="0.45">
      <c r="A1182" s="5">
        <v>1181</v>
      </c>
      <c r="B1182" s="6" t="s">
        <v>919</v>
      </c>
      <c r="C1182" s="6" t="s">
        <v>6852</v>
      </c>
      <c r="D1182" s="7" t="s">
        <v>9794</v>
      </c>
      <c r="E1182" s="1" t="s">
        <v>919</v>
      </c>
      <c r="F1182" s="1"/>
      <c r="G1182" s="1"/>
      <c r="J1182" s="1" t="s">
        <v>9795</v>
      </c>
      <c r="K1182" s="1" t="s">
        <v>5974</v>
      </c>
      <c r="L1182" s="2" t="s">
        <v>9662</v>
      </c>
      <c r="P1182" s="7" t="s">
        <v>1241</v>
      </c>
      <c r="AV1182" s="1" t="s">
        <v>38</v>
      </c>
      <c r="BG1182" s="7" t="s">
        <v>1242</v>
      </c>
      <c r="BH1182" s="1" t="s">
        <v>1976</v>
      </c>
      <c r="BI1182" s="1" t="s">
        <v>9663</v>
      </c>
      <c r="BJ1182" s="1" t="s">
        <v>1947</v>
      </c>
      <c r="BK1182" s="1" t="s">
        <v>5975</v>
      </c>
      <c r="BL1182" s="1" t="s">
        <v>1996</v>
      </c>
      <c r="BM1182" s="2" t="s">
        <v>5976</v>
      </c>
      <c r="BN1182" s="1" t="s">
        <v>1877</v>
      </c>
      <c r="BO1182" s="2" t="s">
        <v>5977</v>
      </c>
    </row>
    <row r="1183" spans="1:69" ht="162" x14ac:dyDescent="0.45">
      <c r="A1183" s="5">
        <v>1182</v>
      </c>
      <c r="B1183" s="6" t="s">
        <v>920</v>
      </c>
      <c r="C1183" s="6" t="s">
        <v>6852</v>
      </c>
      <c r="D1183" s="7" t="s">
        <v>9794</v>
      </c>
      <c r="E1183" s="1" t="s">
        <v>920</v>
      </c>
      <c r="F1183" s="1"/>
      <c r="G1183" s="1"/>
      <c r="J1183" s="1" t="s">
        <v>9795</v>
      </c>
      <c r="K1183" s="1" t="s">
        <v>9664</v>
      </c>
      <c r="L1183" s="2" t="s">
        <v>9665</v>
      </c>
      <c r="P1183" s="7" t="s">
        <v>1241</v>
      </c>
      <c r="Q1183" s="13" t="str">
        <f>INDEX($L:$L, MATCH("bite", $B:$B, 0))</f>
        <v>&lt;span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v>
      </c>
      <c r="AV1183" s="1" t="s">
        <v>38</v>
      </c>
      <c r="BG1183" s="7" t="s">
        <v>1242</v>
      </c>
      <c r="BH1183" s="1" t="s">
        <v>1976</v>
      </c>
      <c r="BI1183" s="1" t="s">
        <v>5978</v>
      </c>
      <c r="BJ1183" s="1" t="s">
        <v>1872</v>
      </c>
      <c r="BK1183" s="1" t="s">
        <v>5979</v>
      </c>
    </row>
    <row r="1184" spans="1:69" ht="198" x14ac:dyDescent="0.45">
      <c r="A1184" s="5">
        <v>1183</v>
      </c>
      <c r="B1184" s="8" t="s">
        <v>921</v>
      </c>
      <c r="C1184" s="6" t="s">
        <v>6852</v>
      </c>
      <c r="D1184" s="7" t="s">
        <v>9794</v>
      </c>
      <c r="E1184" s="1" t="s">
        <v>6034</v>
      </c>
      <c r="F1184" s="1" t="s">
        <v>3801</v>
      </c>
      <c r="G1184" s="1"/>
      <c r="J1184" s="1" t="s">
        <v>9795</v>
      </c>
      <c r="L1184" s="3" t="s">
        <v>9666</v>
      </c>
      <c r="M1184" s="1" t="s">
        <v>12260</v>
      </c>
      <c r="P1184" s="7" t="s">
        <v>1241</v>
      </c>
      <c r="Q1184"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1184" s="13"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S1184" s="13"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T1184" s="13"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U1184"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V1184"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1184" s="15"/>
      <c r="AV1184" s="1" t="s">
        <v>38</v>
      </c>
      <c r="BG1184" s="7" t="s">
        <v>1242</v>
      </c>
      <c r="BH1184" s="1" t="s">
        <v>1947</v>
      </c>
      <c r="BI1184" s="2" t="s">
        <v>5980</v>
      </c>
      <c r="BJ1184" s="1" t="s">
        <v>2036</v>
      </c>
      <c r="BK1184" s="2" t="s">
        <v>5981</v>
      </c>
      <c r="BL1184" s="1" t="s">
        <v>1959</v>
      </c>
      <c r="BM1184" s="1" t="s">
        <v>921</v>
      </c>
      <c r="BN1184" s="1" t="s">
        <v>1875</v>
      </c>
      <c r="BO1184" s="2" t="s">
        <v>9667</v>
      </c>
      <c r="BP1184" s="1" t="s">
        <v>1877</v>
      </c>
      <c r="BQ1184" s="2" t="s">
        <v>9668</v>
      </c>
    </row>
    <row r="1185" spans="1:67" ht="180" x14ac:dyDescent="0.45">
      <c r="A1185" s="5">
        <v>1184</v>
      </c>
      <c r="B1185" s="8" t="s">
        <v>922</v>
      </c>
      <c r="C1185" s="6" t="s">
        <v>6852</v>
      </c>
      <c r="D1185" s="7" t="s">
        <v>9794</v>
      </c>
      <c r="E1185" s="1" t="s">
        <v>1908</v>
      </c>
      <c r="F1185" s="1" t="s">
        <v>4532</v>
      </c>
      <c r="G1185" s="1"/>
      <c r="J1185" s="1" t="s">
        <v>9795</v>
      </c>
      <c r="L1185" s="3" t="s">
        <v>9669</v>
      </c>
      <c r="M1185" s="1" t="s">
        <v>12190</v>
      </c>
      <c r="P1185" s="7" t="s">
        <v>1241</v>
      </c>
      <c r="Q1185" s="13"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185" s="13"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1185" s="13"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1185"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1185"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1185"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1185"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1185"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1185"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1185"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1185" s="1" t="s">
        <v>38</v>
      </c>
      <c r="BG1185" s="7" t="s">
        <v>1242</v>
      </c>
      <c r="BH1185" s="1" t="s">
        <v>1976</v>
      </c>
      <c r="BI1185" s="1" t="s">
        <v>3355</v>
      </c>
      <c r="BJ1185" s="1" t="s">
        <v>1947</v>
      </c>
      <c r="BK1185" s="2" t="s">
        <v>5982</v>
      </c>
      <c r="BL1185" s="1" t="s">
        <v>1959</v>
      </c>
      <c r="BM1185" s="1" t="s">
        <v>5983</v>
      </c>
      <c r="BN1185" s="1" t="s">
        <v>1875</v>
      </c>
      <c r="BO1185" s="2" t="s">
        <v>5984</v>
      </c>
    </row>
    <row r="1186" spans="1:67" ht="108" x14ac:dyDescent="0.45">
      <c r="A1186" s="5">
        <v>1185</v>
      </c>
      <c r="B1186" s="6" t="s">
        <v>923</v>
      </c>
      <c r="C1186" s="6" t="s">
        <v>6852</v>
      </c>
      <c r="D1186" s="7" t="s">
        <v>9794</v>
      </c>
      <c r="E1186" s="1" t="s">
        <v>923</v>
      </c>
      <c r="F1186" s="1"/>
      <c r="G1186" s="1"/>
      <c r="J1186" s="1" t="s">
        <v>9795</v>
      </c>
      <c r="L1186" s="3" t="s">
        <v>9670</v>
      </c>
      <c r="P1186" s="7" t="s">
        <v>1241</v>
      </c>
      <c r="AV1186" s="1" t="s">
        <v>38</v>
      </c>
      <c r="BG1186" s="7" t="s">
        <v>1242</v>
      </c>
      <c r="BH1186" s="1" t="s">
        <v>1947</v>
      </c>
      <c r="BI1186" s="1" t="s">
        <v>5985</v>
      </c>
      <c r="BJ1186" s="1" t="s">
        <v>1959</v>
      </c>
      <c r="BK1186" s="2" t="s">
        <v>5986</v>
      </c>
      <c r="BL1186" s="1" t="s">
        <v>1877</v>
      </c>
      <c r="BM1186" s="2" t="s">
        <v>5987</v>
      </c>
    </row>
    <row r="1187" spans="1:67" ht="144" x14ac:dyDescent="0.45">
      <c r="A1187" s="5">
        <v>1186</v>
      </c>
      <c r="B1187" s="8" t="s">
        <v>924</v>
      </c>
      <c r="C1187" s="6" t="s">
        <v>6852</v>
      </c>
      <c r="D1187" s="7" t="s">
        <v>9794</v>
      </c>
      <c r="E1187" s="1" t="s">
        <v>5988</v>
      </c>
      <c r="F1187" s="1" t="s">
        <v>5989</v>
      </c>
      <c r="G1187" s="1"/>
      <c r="J1187" s="1" t="s">
        <v>9795</v>
      </c>
      <c r="K1187" s="2" t="s">
        <v>9657</v>
      </c>
      <c r="L1187" s="3" t="s">
        <v>9671</v>
      </c>
      <c r="M1187" s="1" t="s">
        <v>12262</v>
      </c>
      <c r="P1187" s="7" t="s">
        <v>1241</v>
      </c>
      <c r="Q1187" s="13"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1187" s="13"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S1187" s="13"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ミステリ小説などで使われる「アリバイ」という言葉は、ラテン語aliusが、場所を意味する形になったalibi（他の場所）に由来する。事件当時に他の場所にいたことを示すことから、alibiという語が使われるようになった。&lt;/span&gt;</v>
      </c>
      <c r="AU1187" s="15"/>
      <c r="AV1187" s="1" t="s">
        <v>38</v>
      </c>
      <c r="BG1187" s="7" t="s">
        <v>1242</v>
      </c>
      <c r="BH1187" s="1" t="s">
        <v>2458</v>
      </c>
      <c r="BI1187" s="2" t="s">
        <v>5990</v>
      </c>
      <c r="BJ1187" s="1" t="s">
        <v>1947</v>
      </c>
      <c r="BK1187" s="1" t="s">
        <v>5991</v>
      </c>
      <c r="BL1187" s="1" t="s">
        <v>1996</v>
      </c>
      <c r="BM1187" s="2" t="s">
        <v>5992</v>
      </c>
      <c r="BN1187" s="1" t="s">
        <v>1877</v>
      </c>
      <c r="BO1187" s="2" t="s">
        <v>5993</v>
      </c>
    </row>
    <row r="1188" spans="1:67" ht="108" x14ac:dyDescent="0.45">
      <c r="A1188" s="5">
        <v>1187</v>
      </c>
      <c r="B1188" s="8" t="s">
        <v>925</v>
      </c>
      <c r="C1188" s="6" t="s">
        <v>6852</v>
      </c>
      <c r="D1188" s="7" t="s">
        <v>9794</v>
      </c>
      <c r="E1188" s="1" t="s">
        <v>925</v>
      </c>
      <c r="F1188" s="1"/>
      <c r="G1188" s="1"/>
      <c r="J1188" s="1" t="s">
        <v>9795</v>
      </c>
      <c r="K1188" s="2" t="s">
        <v>9658</v>
      </c>
      <c r="L1188" s="3" t="s">
        <v>9672</v>
      </c>
      <c r="M1188" s="1" t="s">
        <v>12171</v>
      </c>
      <c r="P1188" s="7" t="s">
        <v>1241</v>
      </c>
      <c r="Q1188" s="13"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1188" s="13"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1188" s="13"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1188" s="13"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U1188" s="13"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1188" s="13"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U1188" s="15"/>
      <c r="AV1188" s="1" t="s">
        <v>38</v>
      </c>
      <c r="BG1188" s="7" t="s">
        <v>1242</v>
      </c>
      <c r="BH1188" s="1" t="s">
        <v>1947</v>
      </c>
      <c r="BI1188" s="2" t="s">
        <v>5994</v>
      </c>
      <c r="BJ1188" s="1" t="s">
        <v>1877</v>
      </c>
      <c r="BK1188" s="2" t="s">
        <v>5995</v>
      </c>
    </row>
    <row r="1189" spans="1:67" ht="216" x14ac:dyDescent="0.45">
      <c r="A1189" s="5">
        <v>1188</v>
      </c>
      <c r="B1189" s="6" t="s">
        <v>926</v>
      </c>
      <c r="C1189" s="6" t="s">
        <v>6852</v>
      </c>
      <c r="D1189" s="7" t="s">
        <v>9794</v>
      </c>
      <c r="E1189" s="1" t="s">
        <v>5996</v>
      </c>
      <c r="F1189" s="1" t="s">
        <v>49</v>
      </c>
      <c r="G1189" s="1"/>
      <c r="J1189" s="1" t="s">
        <v>9795</v>
      </c>
      <c r="L1189" s="3" t="s">
        <v>9673</v>
      </c>
      <c r="M1189" s="1" t="s">
        <v>12240</v>
      </c>
      <c r="P1189" s="7" t="s">
        <v>1241</v>
      </c>
      <c r="Q1189"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189"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1189"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1189"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1189"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1189"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W1189"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X1189"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Y1189"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Z1189"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1189" s="15"/>
      <c r="AV1189" s="1" t="s">
        <v>38</v>
      </c>
      <c r="BG1189" s="7" t="s">
        <v>1242</v>
      </c>
      <c r="BH1189" s="1" t="s">
        <v>1947</v>
      </c>
      <c r="BI1189" s="2" t="s">
        <v>9674</v>
      </c>
      <c r="BJ1189" s="1" t="s">
        <v>2036</v>
      </c>
      <c r="BK1189" s="2" t="s">
        <v>5997</v>
      </c>
      <c r="BL1189" s="1" t="s">
        <v>1996</v>
      </c>
      <c r="BM1189" s="2" t="s">
        <v>5998</v>
      </c>
      <c r="BN1189" s="1" t="s">
        <v>1877</v>
      </c>
      <c r="BO1189" s="2" t="s">
        <v>5999</v>
      </c>
    </row>
    <row r="1190" spans="1:67" ht="144" x14ac:dyDescent="0.45">
      <c r="A1190" s="5">
        <v>1189</v>
      </c>
      <c r="B1190" s="8" t="s">
        <v>927</v>
      </c>
      <c r="C1190" s="6" t="s">
        <v>6852</v>
      </c>
      <c r="D1190" s="7" t="s">
        <v>9794</v>
      </c>
      <c r="E1190" s="1" t="s">
        <v>6000</v>
      </c>
      <c r="F1190" s="1" t="s">
        <v>6001</v>
      </c>
      <c r="G1190" s="1" t="s">
        <v>1548</v>
      </c>
      <c r="J1190" s="1" t="s">
        <v>9795</v>
      </c>
      <c r="L1190" s="3" t="s">
        <v>9675</v>
      </c>
      <c r="M1190" s="1" t="s">
        <v>12200</v>
      </c>
      <c r="P1190" s="7" t="s">
        <v>1241</v>
      </c>
      <c r="Q1190" s="13"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190" s="13"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1190" s="13"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T1190" s="13"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U1190" s="13"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V1190" s="13"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1190" s="13"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1190" s="13"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1190" s="1" t="s">
        <v>38</v>
      </c>
      <c r="BG1190" s="7" t="s">
        <v>1242</v>
      </c>
      <c r="BH1190" s="1" t="s">
        <v>1976</v>
      </c>
      <c r="BI1190" s="1" t="s">
        <v>2838</v>
      </c>
      <c r="BJ1190" s="1" t="s">
        <v>1947</v>
      </c>
      <c r="BK1190" s="2" t="s">
        <v>6002</v>
      </c>
      <c r="BL1190" s="1" t="s">
        <v>2036</v>
      </c>
      <c r="BM1190" s="2" t="s">
        <v>6003</v>
      </c>
      <c r="BN1190" s="1" t="s">
        <v>1877</v>
      </c>
      <c r="BO1190" s="2" t="s">
        <v>6004</v>
      </c>
    </row>
    <row r="1191" spans="1:67" ht="198" x14ac:dyDescent="0.45">
      <c r="A1191" s="5">
        <v>1190</v>
      </c>
      <c r="B1191" s="6" t="s">
        <v>928</v>
      </c>
      <c r="C1191" s="6" t="s">
        <v>6852</v>
      </c>
      <c r="D1191" s="7" t="s">
        <v>9794</v>
      </c>
      <c r="E1191" s="1" t="s">
        <v>1721</v>
      </c>
      <c r="F1191" s="1" t="s">
        <v>240</v>
      </c>
      <c r="G1191" s="1" t="s">
        <v>49</v>
      </c>
      <c r="J1191" s="1" t="s">
        <v>9795</v>
      </c>
      <c r="L1191" s="2" t="s">
        <v>9676</v>
      </c>
      <c r="P1191" s="7" t="s">
        <v>1241</v>
      </c>
      <c r="Q1191" s="13" t="str">
        <f>INDEX($L:$L, MATCH("origin", $B:$B, 0))</f>
        <v>&lt;span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v>
      </c>
      <c r="R1191" s="13" t="str">
        <f>INDEX($L:$L, MATCH("orient", $B:$B, 0))</f>
        <v>&lt;span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v>
      </c>
      <c r="AU1191" s="15"/>
      <c r="AV1191" s="1" t="s">
        <v>38</v>
      </c>
      <c r="BG1191" s="7" t="s">
        <v>1242</v>
      </c>
      <c r="BH1191" s="1" t="s">
        <v>1947</v>
      </c>
      <c r="BI1191" s="2" t="s">
        <v>6005</v>
      </c>
      <c r="BJ1191" s="1" t="s">
        <v>1877</v>
      </c>
      <c r="BK1191" s="2" t="s">
        <v>6006</v>
      </c>
    </row>
    <row r="1192" spans="1:67" ht="108" x14ac:dyDescent="0.45">
      <c r="A1192" s="5">
        <v>1191</v>
      </c>
      <c r="B1192" s="6" t="s">
        <v>929</v>
      </c>
      <c r="C1192" s="6" t="s">
        <v>6852</v>
      </c>
      <c r="D1192" s="7" t="s">
        <v>9794</v>
      </c>
      <c r="E1192" s="1" t="s">
        <v>6007</v>
      </c>
      <c r="F1192" s="1" t="s">
        <v>49</v>
      </c>
      <c r="G1192" s="1"/>
      <c r="J1192" s="1" t="s">
        <v>9795</v>
      </c>
      <c r="L1192" s="2" t="s">
        <v>9677</v>
      </c>
      <c r="P1192" s="7" t="s">
        <v>1241</v>
      </c>
      <c r="AU1192" s="15"/>
      <c r="AV1192" s="1" t="s">
        <v>38</v>
      </c>
      <c r="BG1192" s="7" t="s">
        <v>1242</v>
      </c>
      <c r="BH1192" s="1" t="s">
        <v>1947</v>
      </c>
      <c r="BI1192" s="2" t="s">
        <v>6008</v>
      </c>
      <c r="BJ1192" s="1" t="s">
        <v>1959</v>
      </c>
      <c r="BK1192" s="1" t="s">
        <v>6009</v>
      </c>
      <c r="BL1192" s="1" t="s">
        <v>1875</v>
      </c>
      <c r="BM1192" s="2" t="s">
        <v>6010</v>
      </c>
      <c r="BN1192" s="1" t="s">
        <v>1877</v>
      </c>
      <c r="BO1192" s="2" t="s">
        <v>6011</v>
      </c>
    </row>
    <row r="1193" spans="1:67" ht="144" x14ac:dyDescent="0.45">
      <c r="A1193" s="5">
        <v>1192</v>
      </c>
      <c r="B1193" s="8" t="s">
        <v>930</v>
      </c>
      <c r="C1193" s="6" t="s">
        <v>6852</v>
      </c>
      <c r="D1193" s="7" t="s">
        <v>9794</v>
      </c>
      <c r="E1193" s="1" t="s">
        <v>1721</v>
      </c>
      <c r="F1193" s="1" t="s">
        <v>6012</v>
      </c>
      <c r="G1193" s="1" t="s">
        <v>1931</v>
      </c>
      <c r="J1193" s="1" t="s">
        <v>9795</v>
      </c>
      <c r="L1193" s="3" t="s">
        <v>9678</v>
      </c>
      <c r="P1193" s="7" t="s">
        <v>1241</v>
      </c>
      <c r="AU1193" s="15"/>
      <c r="AV1193" s="1" t="s">
        <v>38</v>
      </c>
      <c r="BG1193" s="7" t="s">
        <v>1242</v>
      </c>
      <c r="BH1193" s="1" t="s">
        <v>1947</v>
      </c>
      <c r="BI1193" s="2" t="s">
        <v>6013</v>
      </c>
      <c r="BJ1193" s="1" t="s">
        <v>1959</v>
      </c>
      <c r="BK1193" s="1" t="s">
        <v>930</v>
      </c>
      <c r="BL1193" s="1" t="s">
        <v>1875</v>
      </c>
      <c r="BM1193" s="2" t="s">
        <v>6014</v>
      </c>
    </row>
    <row r="1194" spans="1:67" ht="90" x14ac:dyDescent="0.45">
      <c r="A1194" s="5">
        <v>1193</v>
      </c>
      <c r="B1194" s="6" t="s">
        <v>931</v>
      </c>
      <c r="C1194" s="6" t="s">
        <v>6852</v>
      </c>
      <c r="D1194" s="7" t="s">
        <v>9794</v>
      </c>
      <c r="E1194" s="1" t="s">
        <v>9045</v>
      </c>
      <c r="F1194" s="1"/>
      <c r="G1194" s="1"/>
      <c r="J1194" s="1" t="s">
        <v>9795</v>
      </c>
      <c r="K1194" s="1" t="s">
        <v>6015</v>
      </c>
      <c r="L1194" s="2" t="s">
        <v>9679</v>
      </c>
      <c r="P1194" s="7" t="s">
        <v>1241</v>
      </c>
      <c r="AV1194" s="1" t="s">
        <v>38</v>
      </c>
      <c r="BG1194" s="7" t="s">
        <v>1242</v>
      </c>
      <c r="BH1194" s="1" t="s">
        <v>1947</v>
      </c>
      <c r="BI1194" s="1" t="s">
        <v>6016</v>
      </c>
      <c r="BJ1194" s="1" t="s">
        <v>1877</v>
      </c>
      <c r="BK1194" s="2" t="s">
        <v>6017</v>
      </c>
      <c r="BL1194" s="1" t="s">
        <v>3497</v>
      </c>
      <c r="BM1194" s="2" t="s">
        <v>6018</v>
      </c>
    </row>
    <row r="1195" spans="1:67" ht="108" x14ac:dyDescent="0.45">
      <c r="A1195" s="5">
        <v>1194</v>
      </c>
      <c r="B1195" s="8" t="s">
        <v>932</v>
      </c>
      <c r="C1195" s="6" t="s">
        <v>6852</v>
      </c>
      <c r="D1195" s="7" t="s">
        <v>9794</v>
      </c>
      <c r="E1195" s="1" t="s">
        <v>6019</v>
      </c>
      <c r="F1195" s="1" t="s">
        <v>6020</v>
      </c>
      <c r="G1195" s="1" t="s">
        <v>1931</v>
      </c>
      <c r="J1195" s="1" t="s">
        <v>9795</v>
      </c>
      <c r="K1195" s="1" t="s">
        <v>6021</v>
      </c>
      <c r="L1195" s="2" t="s">
        <v>9680</v>
      </c>
      <c r="P1195" s="7" t="s">
        <v>1241</v>
      </c>
      <c r="Q1195" s="13" t="str">
        <f>INDEX($L:$L, MATCH("relieve", $B:$B, 0))</f>
        <v>&lt;span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v>
      </c>
      <c r="R1195" s="13" t="str">
        <f>INDEX($L:$L, MATCH("relevant", $B:$B, 0))</f>
        <v>&lt;span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class="spacer"&gt;&lt;/span&gt;議論において助けとなる情報は、その事柄に直接関係している情報なので、現代英語の「関係のある,（当面の問題に対して）適切な」という意味になった。&lt;/span&gt;</v>
      </c>
      <c r="AU1195" s="15"/>
      <c r="AV1195" s="1" t="s">
        <v>38</v>
      </c>
      <c r="BG1195" s="7" t="s">
        <v>1242</v>
      </c>
      <c r="BH1195" s="1" t="s">
        <v>1947</v>
      </c>
      <c r="BI1195" s="2" t="s">
        <v>6022</v>
      </c>
      <c r="BJ1195" s="1" t="s">
        <v>1967</v>
      </c>
      <c r="BK1195" s="1" t="s">
        <v>6023</v>
      </c>
      <c r="BL1195" s="1" t="s">
        <v>1996</v>
      </c>
      <c r="BM1195" s="1" t="s">
        <v>6024</v>
      </c>
      <c r="BN1195" s="1" t="s">
        <v>1877</v>
      </c>
      <c r="BO1195" s="2" t="s">
        <v>6025</v>
      </c>
    </row>
    <row r="1196" spans="1:67" ht="126" x14ac:dyDescent="0.45">
      <c r="A1196" s="5">
        <v>1195</v>
      </c>
      <c r="B1196" s="6" t="s">
        <v>933</v>
      </c>
      <c r="C1196" s="6" t="s">
        <v>6852</v>
      </c>
      <c r="D1196" s="7" t="s">
        <v>9794</v>
      </c>
      <c r="E1196" s="1" t="s">
        <v>6026</v>
      </c>
      <c r="F1196" s="1" t="s">
        <v>6027</v>
      </c>
      <c r="G1196" s="1"/>
      <c r="J1196" s="1" t="s">
        <v>9795</v>
      </c>
      <c r="L1196" s="2" t="s">
        <v>9681</v>
      </c>
      <c r="P1196" s="7" t="s">
        <v>1241</v>
      </c>
      <c r="AU1196" s="15"/>
      <c r="AV1196" s="1" t="s">
        <v>38</v>
      </c>
      <c r="BG1196" s="7" t="s">
        <v>1242</v>
      </c>
      <c r="BH1196" s="1" t="s">
        <v>1947</v>
      </c>
      <c r="BI1196" s="2" t="s">
        <v>6028</v>
      </c>
      <c r="BJ1196" s="1" t="s">
        <v>1877</v>
      </c>
      <c r="BK1196" s="2" t="s">
        <v>6029</v>
      </c>
    </row>
    <row r="1197" spans="1:67" ht="108" x14ac:dyDescent="0.45">
      <c r="A1197" s="5">
        <v>1196</v>
      </c>
      <c r="B1197" s="6" t="s">
        <v>934</v>
      </c>
      <c r="C1197" s="6" t="s">
        <v>6852</v>
      </c>
      <c r="D1197" s="7" t="s">
        <v>9794</v>
      </c>
      <c r="E1197" s="1" t="s">
        <v>6030</v>
      </c>
      <c r="F1197" s="1" t="s">
        <v>1927</v>
      </c>
      <c r="G1197" s="1"/>
      <c r="J1197" s="1" t="s">
        <v>9795</v>
      </c>
      <c r="K1197" s="1" t="s">
        <v>6031</v>
      </c>
      <c r="L1197" s="2" t="s">
        <v>9682</v>
      </c>
      <c r="P1197" s="7" t="s">
        <v>1241</v>
      </c>
      <c r="AV1197" s="1" t="s">
        <v>38</v>
      </c>
      <c r="BG1197" s="7" t="s">
        <v>1242</v>
      </c>
      <c r="BH1197" s="1" t="s">
        <v>1959</v>
      </c>
      <c r="BI1197" s="1" t="s">
        <v>6032</v>
      </c>
      <c r="BJ1197" s="1" t="s">
        <v>1875</v>
      </c>
      <c r="BK1197" s="2" t="s">
        <v>6033</v>
      </c>
    </row>
    <row r="1198" spans="1:67" ht="108" x14ac:dyDescent="0.45">
      <c r="A1198" s="5">
        <v>1197</v>
      </c>
      <c r="B1198" s="8" t="s">
        <v>935</v>
      </c>
      <c r="C1198" s="6" t="s">
        <v>6852</v>
      </c>
      <c r="D1198" s="7" t="s">
        <v>9794</v>
      </c>
      <c r="E1198" s="1" t="s">
        <v>6034</v>
      </c>
      <c r="F1198" s="1" t="s">
        <v>3331</v>
      </c>
      <c r="G1198" s="1"/>
      <c r="J1198" s="1" t="s">
        <v>9795</v>
      </c>
      <c r="K1198" s="1" t="s">
        <v>9659</v>
      </c>
      <c r="L1198" s="2" t="s">
        <v>9683</v>
      </c>
      <c r="M1198" s="1" t="s">
        <v>12260</v>
      </c>
      <c r="P1198" s="7" t="s">
        <v>1241</v>
      </c>
      <c r="Q1198"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1198" s="13"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S1198" s="13"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T1198" s="13"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U1198"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V1198"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1198" s="15"/>
      <c r="AV1198" s="1" t="s">
        <v>38</v>
      </c>
      <c r="BG1198" s="7" t="s">
        <v>1242</v>
      </c>
      <c r="BH1198" s="1" t="s">
        <v>1947</v>
      </c>
      <c r="BI1198" s="2" t="s">
        <v>6035</v>
      </c>
      <c r="BJ1198" s="1" t="s">
        <v>1877</v>
      </c>
      <c r="BK1198" s="2" t="s">
        <v>6036</v>
      </c>
    </row>
    <row r="1199" spans="1:67" ht="180" x14ac:dyDescent="0.45">
      <c r="A1199" s="5">
        <v>1198</v>
      </c>
      <c r="B1199" s="6" t="s">
        <v>936</v>
      </c>
      <c r="C1199" s="6" t="s">
        <v>6852</v>
      </c>
      <c r="D1199" s="7" t="s">
        <v>9794</v>
      </c>
      <c r="E1199" s="1" t="s">
        <v>6037</v>
      </c>
      <c r="F1199" s="1" t="s">
        <v>1551</v>
      </c>
      <c r="G1199" s="1"/>
      <c r="J1199" s="1" t="s">
        <v>9795</v>
      </c>
      <c r="K1199" s="1" t="s">
        <v>9684</v>
      </c>
      <c r="L1199" s="2" t="s">
        <v>9685</v>
      </c>
      <c r="P1199" s="7" t="s">
        <v>1241</v>
      </c>
      <c r="AU1199" s="15"/>
      <c r="AV1199" s="1" t="s">
        <v>38</v>
      </c>
      <c r="BG1199" s="7" t="s">
        <v>1242</v>
      </c>
      <c r="BH1199" s="1" t="s">
        <v>2458</v>
      </c>
      <c r="BI1199" s="2" t="s">
        <v>6038</v>
      </c>
      <c r="BJ1199" s="1" t="s">
        <v>1947</v>
      </c>
      <c r="BK1199" s="1" t="s">
        <v>6039</v>
      </c>
      <c r="BL1199" s="1" t="s">
        <v>1959</v>
      </c>
      <c r="BM1199" s="1" t="s">
        <v>6040</v>
      </c>
      <c r="BN1199" s="1" t="s">
        <v>1875</v>
      </c>
      <c r="BO1199" s="2" t="s">
        <v>6041</v>
      </c>
    </row>
    <row r="1200" spans="1:67" ht="162" x14ac:dyDescent="0.45">
      <c r="A1200" s="5">
        <v>1199</v>
      </c>
      <c r="B1200" s="6" t="s">
        <v>937</v>
      </c>
      <c r="C1200" s="6" t="s">
        <v>6852</v>
      </c>
      <c r="D1200" s="7" t="s">
        <v>9794</v>
      </c>
      <c r="E1200" s="1" t="s">
        <v>6042</v>
      </c>
      <c r="F1200" s="1" t="s">
        <v>1541</v>
      </c>
      <c r="G1200" s="1"/>
      <c r="J1200" s="1" t="s">
        <v>9795</v>
      </c>
      <c r="K1200" s="1" t="s">
        <v>6043</v>
      </c>
      <c r="L1200" s="2" t="s">
        <v>9686</v>
      </c>
      <c r="P1200" s="7" t="s">
        <v>1241</v>
      </c>
      <c r="AU1200" s="15"/>
      <c r="AV1200" s="1" t="s">
        <v>38</v>
      </c>
      <c r="BG1200" s="7" t="s">
        <v>1242</v>
      </c>
      <c r="BH1200" s="1" t="s">
        <v>1947</v>
      </c>
      <c r="BI1200" s="2" t="s">
        <v>6044</v>
      </c>
      <c r="BJ1200" s="1" t="s">
        <v>1959</v>
      </c>
      <c r="BK1200" s="1" t="s">
        <v>6045</v>
      </c>
      <c r="BL1200" s="1" t="s">
        <v>2114</v>
      </c>
      <c r="BM1200" s="1" t="s">
        <v>6046</v>
      </c>
      <c r="BN1200" s="1" t="s">
        <v>1875</v>
      </c>
      <c r="BO1200" s="2" t="s">
        <v>6047</v>
      </c>
    </row>
    <row r="1201" spans="1:67" ht="180" x14ac:dyDescent="0.45">
      <c r="A1201" s="5">
        <v>1200</v>
      </c>
      <c r="B1201" s="8" t="s">
        <v>938</v>
      </c>
      <c r="C1201" s="6" t="s">
        <v>6852</v>
      </c>
      <c r="D1201" s="7" t="s">
        <v>9794</v>
      </c>
      <c r="E1201" s="1" t="s">
        <v>27</v>
      </c>
      <c r="F1201" s="1" t="s">
        <v>5559</v>
      </c>
      <c r="G1201" s="1" t="s">
        <v>1920</v>
      </c>
      <c r="J1201" s="1" t="s">
        <v>9795</v>
      </c>
      <c r="K1201" s="1" t="s">
        <v>6048</v>
      </c>
      <c r="L1201" s="3" t="s">
        <v>9687</v>
      </c>
      <c r="M1201" s="1" t="s">
        <v>12213</v>
      </c>
      <c r="P1201" s="7" t="s">
        <v>1241</v>
      </c>
      <c r="Q1201" s="13" t="str">
        <f>INDEX($L:$L, MATCH("decline", $B:$B, 0))</f>
        <v>&lt;span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v>
      </c>
      <c r="R1201" s="13" t="str">
        <f>INDEX($L:$L, MATCH("client", $B:$B, 0))</f>
        <v>&lt;span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v>
      </c>
      <c r="AU1201" s="15"/>
      <c r="AV1201" s="1" t="s">
        <v>38</v>
      </c>
      <c r="BG1201" s="7" t="s">
        <v>1242</v>
      </c>
      <c r="BH1201" s="1" t="s">
        <v>1947</v>
      </c>
      <c r="BI1201" s="2" t="s">
        <v>6049</v>
      </c>
      <c r="BJ1201" s="1" t="s">
        <v>1959</v>
      </c>
      <c r="BK1201" s="1" t="s">
        <v>6050</v>
      </c>
      <c r="BL1201" s="1" t="s">
        <v>1875</v>
      </c>
      <c r="BM1201" s="2" t="s">
        <v>6051</v>
      </c>
    </row>
    <row r="1202" spans="1:67" ht="144" x14ac:dyDescent="0.45">
      <c r="A1202" s="5">
        <v>1201</v>
      </c>
      <c r="B1202" s="8" t="s">
        <v>939</v>
      </c>
      <c r="C1202" s="6" t="s">
        <v>1816</v>
      </c>
      <c r="D1202" s="7" t="s">
        <v>9794</v>
      </c>
      <c r="E1202" s="1" t="s">
        <v>27</v>
      </c>
      <c r="F1202" s="1" t="s">
        <v>1250</v>
      </c>
      <c r="G1202" s="1"/>
      <c r="J1202" s="1" t="s">
        <v>9795</v>
      </c>
      <c r="L1202" s="3" t="s">
        <v>9688</v>
      </c>
      <c r="M1202" s="1" t="s">
        <v>12169</v>
      </c>
      <c r="P1202" s="7" t="s">
        <v>1241</v>
      </c>
      <c r="Q1202" s="13"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202" s="13"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1202" s="13"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1202" s="13"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1202" s="13"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V1202" s="13"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W1202" s="13"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1202"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1202" s="15"/>
      <c r="AV1202" s="1" t="s">
        <v>38</v>
      </c>
      <c r="BG1202" s="7" t="s">
        <v>1242</v>
      </c>
      <c r="BH1202" s="1" t="s">
        <v>1947</v>
      </c>
      <c r="BI1202" s="2" t="s">
        <v>6052</v>
      </c>
      <c r="BJ1202" s="1" t="s">
        <v>1877</v>
      </c>
      <c r="BK1202" s="2" t="s">
        <v>6053</v>
      </c>
    </row>
    <row r="1203" spans="1:67" ht="72" x14ac:dyDescent="0.45">
      <c r="A1203" s="5">
        <v>1202</v>
      </c>
      <c r="B1203" s="8" t="s">
        <v>940</v>
      </c>
      <c r="C1203" s="6" t="s">
        <v>1816</v>
      </c>
      <c r="D1203" s="7" t="s">
        <v>9794</v>
      </c>
      <c r="E1203" s="1" t="s">
        <v>940</v>
      </c>
      <c r="F1203" s="1"/>
      <c r="G1203" s="1"/>
      <c r="J1203" s="1" t="s">
        <v>9795</v>
      </c>
      <c r="K1203" s="1" t="s">
        <v>9689</v>
      </c>
      <c r="L1203" s="2" t="s">
        <v>9690</v>
      </c>
      <c r="M1203" s="1" t="s">
        <v>12231</v>
      </c>
      <c r="P1203" s="7" t="s">
        <v>1241</v>
      </c>
      <c r="Q1203" s="13" t="str">
        <f>INDEX($L:$L, MATCH("estimate", $B:$B, 0))</f>
        <v>&lt;span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v>
      </c>
      <c r="R1203" s="13" t="str">
        <f>INDEX($L:$L, MATCH("underestimate", $B:$B, 0))</f>
        <v>&lt;span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v>
      </c>
      <c r="S1203" s="13" t="str">
        <f>INDEX($L:$L, MATCH("aim", $B:$B, 0))</f>
        <v>&lt;span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v>
      </c>
      <c r="AV1203" s="1" t="s">
        <v>38</v>
      </c>
      <c r="BG1203" s="7" t="s">
        <v>1242</v>
      </c>
      <c r="BH1203" s="1" t="s">
        <v>1947</v>
      </c>
      <c r="BI1203" s="1" t="s">
        <v>6054</v>
      </c>
      <c r="BJ1203" s="1" t="s">
        <v>1959</v>
      </c>
      <c r="BK1203" s="1" t="s">
        <v>6055</v>
      </c>
      <c r="BL1203" s="1" t="s">
        <v>1875</v>
      </c>
      <c r="BM1203" s="2" t="s">
        <v>6056</v>
      </c>
      <c r="BN1203" s="1" t="s">
        <v>1877</v>
      </c>
      <c r="BO1203" s="2" t="s">
        <v>6057</v>
      </c>
    </row>
    <row r="1204" spans="1:67" ht="234" x14ac:dyDescent="0.45">
      <c r="A1204" s="5">
        <v>1203</v>
      </c>
      <c r="B1204" s="6" t="s">
        <v>941</v>
      </c>
      <c r="C1204" s="6" t="s">
        <v>1816</v>
      </c>
      <c r="D1204" s="7" t="s">
        <v>9794</v>
      </c>
      <c r="E1204" s="1" t="s">
        <v>941</v>
      </c>
      <c r="F1204" s="1"/>
      <c r="G1204" s="1"/>
      <c r="J1204" s="1" t="s">
        <v>9795</v>
      </c>
      <c r="K1204" s="1" t="s">
        <v>6058</v>
      </c>
      <c r="L1204" s="3" t="s">
        <v>9691</v>
      </c>
      <c r="P1204" s="7" t="s">
        <v>1241</v>
      </c>
      <c r="AV1204" s="1" t="s">
        <v>38</v>
      </c>
      <c r="BG1204" s="7" t="s">
        <v>1242</v>
      </c>
      <c r="BH1204" s="1" t="s">
        <v>6059</v>
      </c>
      <c r="BI1204" s="1" t="s">
        <v>6060</v>
      </c>
      <c r="BJ1204" s="1" t="s">
        <v>1875</v>
      </c>
      <c r="BK1204" s="2" t="s">
        <v>6061</v>
      </c>
      <c r="BL1204" s="1" t="s">
        <v>1877</v>
      </c>
      <c r="BM1204" s="2" t="s">
        <v>6062</v>
      </c>
    </row>
    <row r="1205" spans="1:67" ht="144" x14ac:dyDescent="0.45">
      <c r="A1205" s="5">
        <v>1204</v>
      </c>
      <c r="B1205" s="6" t="s">
        <v>942</v>
      </c>
      <c r="C1205" s="6" t="s">
        <v>1816</v>
      </c>
      <c r="D1205" s="7" t="s">
        <v>9794</v>
      </c>
      <c r="E1205" s="1" t="s">
        <v>942</v>
      </c>
      <c r="F1205" s="1"/>
      <c r="G1205" s="1"/>
      <c r="J1205" s="1" t="s">
        <v>9795</v>
      </c>
      <c r="K1205" s="1" t="s">
        <v>6063</v>
      </c>
      <c r="L1205" s="2" t="s">
        <v>9692</v>
      </c>
      <c r="M1205" s="1" t="s">
        <v>12206</v>
      </c>
      <c r="P1205" s="7" t="s">
        <v>1241</v>
      </c>
      <c r="Q1205" s="13"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1205" s="13"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1205" s="13"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1205" s="13"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1205" s="13"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V1205" s="13"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AU1205" s="15"/>
      <c r="AV1205" s="1" t="s">
        <v>38</v>
      </c>
      <c r="BG1205" s="7" t="s">
        <v>1242</v>
      </c>
      <c r="BH1205" s="1" t="s">
        <v>1947</v>
      </c>
      <c r="BI1205" s="2" t="s">
        <v>6064</v>
      </c>
      <c r="BJ1205" s="1" t="s">
        <v>1959</v>
      </c>
      <c r="BK1205" s="2" t="s">
        <v>6065</v>
      </c>
      <c r="BL1205" s="1" t="s">
        <v>1875</v>
      </c>
      <c r="BM1205" s="2" t="s">
        <v>9693</v>
      </c>
      <c r="BN1205" s="1" t="s">
        <v>1877</v>
      </c>
      <c r="BO1205" s="2" t="s">
        <v>6066</v>
      </c>
    </row>
    <row r="1206" spans="1:67" ht="144" x14ac:dyDescent="0.45">
      <c r="A1206" s="5">
        <v>1205</v>
      </c>
      <c r="B1206" s="6" t="s">
        <v>943</v>
      </c>
      <c r="C1206" s="6" t="s">
        <v>1816</v>
      </c>
      <c r="D1206" s="7" t="s">
        <v>9794</v>
      </c>
      <c r="E1206" s="1" t="s">
        <v>1346</v>
      </c>
      <c r="F1206" s="6" t="s">
        <v>6067</v>
      </c>
      <c r="G1206" s="1"/>
      <c r="J1206" s="1" t="s">
        <v>9795</v>
      </c>
      <c r="K1206" s="1" t="s">
        <v>9694</v>
      </c>
      <c r="L1206" s="2" t="s">
        <v>9695</v>
      </c>
      <c r="P1206" s="7" t="s">
        <v>1241</v>
      </c>
      <c r="AU1206" s="15"/>
      <c r="AV1206" s="1" t="s">
        <v>38</v>
      </c>
      <c r="BG1206" s="7" t="s">
        <v>1242</v>
      </c>
      <c r="BH1206" s="1" t="s">
        <v>1947</v>
      </c>
      <c r="BI1206" s="2" t="s">
        <v>6068</v>
      </c>
      <c r="BJ1206" s="1" t="s">
        <v>1877</v>
      </c>
      <c r="BK1206" s="2" t="s">
        <v>6069</v>
      </c>
    </row>
    <row r="1207" spans="1:67" ht="144" x14ac:dyDescent="0.45">
      <c r="A1207" s="5">
        <v>1206</v>
      </c>
      <c r="B1207" s="6" t="s">
        <v>944</v>
      </c>
      <c r="C1207" s="6" t="s">
        <v>1816</v>
      </c>
      <c r="D1207" s="7" t="s">
        <v>9794</v>
      </c>
      <c r="E1207" s="1" t="s">
        <v>1346</v>
      </c>
      <c r="F1207" s="1" t="s">
        <v>6070</v>
      </c>
      <c r="G1207" s="1"/>
      <c r="J1207" s="1" t="s">
        <v>9795</v>
      </c>
      <c r="K1207" s="1" t="s">
        <v>6071</v>
      </c>
      <c r="L1207" s="2" t="s">
        <v>9696</v>
      </c>
      <c r="P1207" s="7" t="s">
        <v>1241</v>
      </c>
      <c r="Q1207" s="13" t="str">
        <f>INDEX($L:$L, MATCH("custom", $B:$B, 0))</f>
        <v>&lt;span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v>
      </c>
      <c r="AU1207" s="15"/>
      <c r="AV1207" s="1" t="s">
        <v>38</v>
      </c>
      <c r="BG1207" s="7" t="s">
        <v>1242</v>
      </c>
      <c r="BH1207" s="1" t="s">
        <v>1947</v>
      </c>
      <c r="BI1207" s="2" t="s">
        <v>6072</v>
      </c>
      <c r="BJ1207" s="1" t="s">
        <v>1959</v>
      </c>
      <c r="BK1207" s="2" t="s">
        <v>6073</v>
      </c>
      <c r="BL1207" s="1" t="s">
        <v>1875</v>
      </c>
      <c r="BM1207" s="2" t="s">
        <v>6074</v>
      </c>
    </row>
    <row r="1208" spans="1:67" ht="144" x14ac:dyDescent="0.45">
      <c r="A1208" s="5">
        <v>1207</v>
      </c>
      <c r="B1208" s="6" t="s">
        <v>945</v>
      </c>
      <c r="C1208" s="6" t="s">
        <v>1816</v>
      </c>
      <c r="D1208" s="7" t="s">
        <v>9794</v>
      </c>
      <c r="E1208" s="1" t="s">
        <v>1621</v>
      </c>
      <c r="F1208" s="1" t="s">
        <v>6075</v>
      </c>
      <c r="G1208" s="1"/>
      <c r="J1208" s="1" t="s">
        <v>9795</v>
      </c>
      <c r="K1208" s="1" t="s">
        <v>9697</v>
      </c>
      <c r="L1208" s="2" t="s">
        <v>9698</v>
      </c>
      <c r="P1208" s="7" t="s">
        <v>1241</v>
      </c>
      <c r="AU1208" s="15"/>
      <c r="AV1208" s="1" t="s">
        <v>38</v>
      </c>
      <c r="BG1208" s="7" t="s">
        <v>1242</v>
      </c>
      <c r="BH1208" s="1" t="s">
        <v>1959</v>
      </c>
      <c r="BI1208" s="2" t="s">
        <v>6076</v>
      </c>
      <c r="BJ1208" s="1" t="s">
        <v>1875</v>
      </c>
      <c r="BK1208" s="2" t="s">
        <v>6077</v>
      </c>
      <c r="BL1208" s="1" t="s">
        <v>1877</v>
      </c>
      <c r="BM1208" s="2" t="s">
        <v>6078</v>
      </c>
    </row>
    <row r="1209" spans="1:67" ht="90" x14ac:dyDescent="0.45">
      <c r="A1209" s="5">
        <v>1208</v>
      </c>
      <c r="B1209" s="6" t="s">
        <v>946</v>
      </c>
      <c r="C1209" s="6" t="s">
        <v>1816</v>
      </c>
      <c r="D1209" s="7" t="s">
        <v>9794</v>
      </c>
      <c r="E1209" s="1" t="s">
        <v>6079</v>
      </c>
      <c r="F1209" s="1" t="s">
        <v>6080</v>
      </c>
      <c r="G1209" s="1"/>
      <c r="J1209" s="1" t="s">
        <v>9795</v>
      </c>
      <c r="K1209" s="1" t="s">
        <v>9706</v>
      </c>
      <c r="L1209" s="3" t="s">
        <v>9699</v>
      </c>
      <c r="P1209" s="7" t="s">
        <v>1241</v>
      </c>
      <c r="AU1209" s="15"/>
      <c r="AV1209" s="1" t="s">
        <v>38</v>
      </c>
      <c r="BG1209" s="7" t="s">
        <v>1242</v>
      </c>
      <c r="BH1209" s="1" t="s">
        <v>1976</v>
      </c>
      <c r="BI1209" s="2" t="s">
        <v>6081</v>
      </c>
      <c r="BJ1209" s="1" t="s">
        <v>1947</v>
      </c>
      <c r="BK1209" s="2" t="s">
        <v>6082</v>
      </c>
      <c r="BL1209" s="1" t="s">
        <v>1959</v>
      </c>
      <c r="BM1209" s="1" t="s">
        <v>6083</v>
      </c>
      <c r="BN1209" s="1" t="s">
        <v>1875</v>
      </c>
      <c r="BO1209" s="2" t="s">
        <v>6084</v>
      </c>
    </row>
    <row r="1210" spans="1:67" ht="180" x14ac:dyDescent="0.45">
      <c r="A1210" s="5">
        <v>1209</v>
      </c>
      <c r="B1210" s="6" t="s">
        <v>947</v>
      </c>
      <c r="C1210" s="6" t="s">
        <v>1816</v>
      </c>
      <c r="D1210" s="7" t="s">
        <v>9794</v>
      </c>
      <c r="E1210" s="1" t="s">
        <v>947</v>
      </c>
      <c r="F1210" s="1"/>
      <c r="G1210" s="1"/>
      <c r="J1210" s="1" t="s">
        <v>9795</v>
      </c>
      <c r="K1210" s="1" t="s">
        <v>9707</v>
      </c>
      <c r="L1210" s="3" t="s">
        <v>9708</v>
      </c>
      <c r="P1210" s="7" t="s">
        <v>1241</v>
      </c>
      <c r="AV1210" s="1" t="s">
        <v>38</v>
      </c>
      <c r="BG1210" s="7" t="s">
        <v>1242</v>
      </c>
      <c r="BH1210" s="1" t="s">
        <v>2912</v>
      </c>
      <c r="BI1210" s="1" t="s">
        <v>6085</v>
      </c>
      <c r="BJ1210" s="1" t="s">
        <v>1875</v>
      </c>
      <c r="BK1210" s="2" t="s">
        <v>6086</v>
      </c>
    </row>
    <row r="1211" spans="1:67" ht="108" x14ac:dyDescent="0.45">
      <c r="A1211" s="5">
        <v>1210</v>
      </c>
      <c r="B1211" s="6" t="s">
        <v>948</v>
      </c>
      <c r="C1211" s="6" t="s">
        <v>1816</v>
      </c>
      <c r="D1211" s="7" t="s">
        <v>9794</v>
      </c>
      <c r="E1211" s="1" t="s">
        <v>948</v>
      </c>
      <c r="F1211" s="1"/>
      <c r="G1211" s="1"/>
      <c r="J1211" s="1" t="s">
        <v>9795</v>
      </c>
      <c r="K1211" s="1" t="s">
        <v>6087</v>
      </c>
      <c r="L1211" s="2" t="s">
        <v>9709</v>
      </c>
      <c r="P1211" s="7" t="s">
        <v>1241</v>
      </c>
      <c r="Q1211" s="13" t="str">
        <f>INDEX($L:$L, MATCH("nutrition", $B:$B, 0))</f>
        <v>&lt;span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v>
      </c>
      <c r="AV1211" s="1" t="s">
        <v>38</v>
      </c>
      <c r="BG1211" s="7" t="s">
        <v>1242</v>
      </c>
      <c r="BH1211" s="1" t="s">
        <v>1947</v>
      </c>
      <c r="BI1211" s="1" t="s">
        <v>6088</v>
      </c>
      <c r="BJ1211" s="1" t="s">
        <v>2036</v>
      </c>
      <c r="BK1211" s="1" t="s">
        <v>6089</v>
      </c>
      <c r="BL1211" s="1" t="s">
        <v>1959</v>
      </c>
      <c r="BM1211" s="1" t="s">
        <v>6090</v>
      </c>
      <c r="BN1211" s="1" t="s">
        <v>1875</v>
      </c>
      <c r="BO1211" s="2" t="s">
        <v>6091</v>
      </c>
    </row>
    <row r="1212" spans="1:67" ht="72" x14ac:dyDescent="0.45">
      <c r="A1212" s="5">
        <v>1211</v>
      </c>
      <c r="B1212" s="6" t="s">
        <v>949</v>
      </c>
      <c r="C1212" s="6" t="s">
        <v>1816</v>
      </c>
      <c r="D1212" s="7" t="s">
        <v>9794</v>
      </c>
      <c r="E1212" s="1" t="s">
        <v>949</v>
      </c>
      <c r="F1212" s="1"/>
      <c r="G1212" s="1"/>
      <c r="J1212" s="1" t="s">
        <v>9795</v>
      </c>
      <c r="L1212" s="2" t="s">
        <v>9700</v>
      </c>
      <c r="P1212" s="7" t="s">
        <v>1241</v>
      </c>
      <c r="AU1212" s="15"/>
      <c r="AV1212" s="1" t="s">
        <v>38</v>
      </c>
      <c r="BG1212" s="7" t="s">
        <v>1242</v>
      </c>
      <c r="BH1212" s="1" t="s">
        <v>1877</v>
      </c>
      <c r="BI1212" s="2" t="s">
        <v>6092</v>
      </c>
    </row>
    <row r="1213" spans="1:67" ht="108" x14ac:dyDescent="0.45">
      <c r="A1213" s="5">
        <v>1212</v>
      </c>
      <c r="B1213" s="6" t="s">
        <v>950</v>
      </c>
      <c r="C1213" s="6" t="s">
        <v>1816</v>
      </c>
      <c r="D1213" s="7" t="s">
        <v>9794</v>
      </c>
      <c r="E1213" s="1" t="s">
        <v>950</v>
      </c>
      <c r="F1213" s="1"/>
      <c r="G1213" s="1"/>
      <c r="J1213" s="1" t="s">
        <v>9795</v>
      </c>
      <c r="L1213" s="2" t="s">
        <v>9701</v>
      </c>
      <c r="P1213" s="7" t="s">
        <v>1241</v>
      </c>
      <c r="AV1213" s="1" t="s">
        <v>38</v>
      </c>
      <c r="BG1213" s="7" t="s">
        <v>1242</v>
      </c>
      <c r="BH1213" s="1" t="s">
        <v>1872</v>
      </c>
      <c r="BI1213" s="1" t="s">
        <v>6093</v>
      </c>
      <c r="BJ1213" s="1" t="s">
        <v>1875</v>
      </c>
      <c r="BK1213" s="1" t="s">
        <v>6094</v>
      </c>
      <c r="BL1213" s="1" t="s">
        <v>1877</v>
      </c>
      <c r="BM1213" s="2" t="s">
        <v>6095</v>
      </c>
    </row>
    <row r="1214" spans="1:67" ht="72" x14ac:dyDescent="0.45">
      <c r="A1214" s="5">
        <v>1213</v>
      </c>
      <c r="B1214" s="6" t="s">
        <v>951</v>
      </c>
      <c r="C1214" s="6" t="s">
        <v>1816</v>
      </c>
      <c r="D1214" s="7" t="s">
        <v>9794</v>
      </c>
      <c r="E1214" s="1" t="s">
        <v>951</v>
      </c>
      <c r="F1214" s="1"/>
      <c r="G1214" s="1"/>
      <c r="J1214" s="1" t="s">
        <v>9795</v>
      </c>
      <c r="K1214" s="1" t="s">
        <v>6096</v>
      </c>
      <c r="L1214" s="2" t="s">
        <v>9702</v>
      </c>
      <c r="P1214" s="7" t="s">
        <v>1241</v>
      </c>
      <c r="AU1214" s="15"/>
      <c r="AV1214" s="1" t="s">
        <v>38</v>
      </c>
      <c r="BG1214" s="7" t="s">
        <v>1242</v>
      </c>
      <c r="BH1214" s="1" t="s">
        <v>1875</v>
      </c>
      <c r="BI1214" s="2" t="s">
        <v>6097</v>
      </c>
    </row>
    <row r="1215" spans="1:67" ht="108" x14ac:dyDescent="0.45">
      <c r="A1215" s="5">
        <v>1214</v>
      </c>
      <c r="B1215" s="6" t="s">
        <v>952</v>
      </c>
      <c r="C1215" s="6" t="s">
        <v>1816</v>
      </c>
      <c r="D1215" s="7" t="s">
        <v>9794</v>
      </c>
      <c r="E1215" s="1" t="s">
        <v>952</v>
      </c>
      <c r="F1215" s="1"/>
      <c r="G1215" s="1"/>
      <c r="J1215" s="1" t="s">
        <v>9795</v>
      </c>
      <c r="K1215" s="1" t="s">
        <v>9703</v>
      </c>
      <c r="L1215" s="2" t="s">
        <v>9704</v>
      </c>
      <c r="P1215" s="7" t="s">
        <v>1241</v>
      </c>
      <c r="Q1215" s="13" t="str">
        <f>INDEX($L:$L, MATCH("draw", $B:$B, 0))</f>
        <v>&lt;span class="w"&gt;&lt;b&gt;【112.draw：〜を引き出す, ～を引く, ～を描く】&lt;/b&gt;&lt;/span&gt;
&lt;span class="ml"&gt;古英語dragan（引く）にさかのぼる。
&lt;span class="spacer"&gt;&lt;/span&gt;「引く」という意味から「引き出す」や、線を引く＝「描く」という意味になる。&lt;/span&gt;</v>
      </c>
      <c r="R1215" s="13" t="str">
        <f>INDEX($L:$L, MATCH("withdraw", $B:$B, 0))</f>
        <v>&lt;span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v>
      </c>
      <c r="AV1215" s="1" t="s">
        <v>38</v>
      </c>
      <c r="BG1215" s="7" t="s">
        <v>1242</v>
      </c>
      <c r="BH1215" s="1" t="s">
        <v>1872</v>
      </c>
      <c r="BI1215" s="1" t="s">
        <v>6098</v>
      </c>
      <c r="BJ1215" s="1" t="s">
        <v>1875</v>
      </c>
      <c r="BK1215" s="2" t="s">
        <v>6099</v>
      </c>
      <c r="BL1215" s="1" t="s">
        <v>1877</v>
      </c>
      <c r="BM1215" s="2" t="s">
        <v>6100</v>
      </c>
    </row>
    <row r="1216" spans="1:67" ht="126" x14ac:dyDescent="0.45">
      <c r="A1216" s="5">
        <v>1215</v>
      </c>
      <c r="B1216" s="6" t="s">
        <v>953</v>
      </c>
      <c r="C1216" s="6" t="s">
        <v>1816</v>
      </c>
      <c r="D1216" s="7" t="s">
        <v>9794</v>
      </c>
      <c r="E1216" s="1" t="s">
        <v>953</v>
      </c>
      <c r="F1216" s="1"/>
      <c r="G1216" s="1"/>
      <c r="J1216" s="1" t="s">
        <v>9795</v>
      </c>
      <c r="K1216" s="1" t="s">
        <v>9710</v>
      </c>
      <c r="L1216" s="2" t="s">
        <v>9705</v>
      </c>
      <c r="P1216" s="7" t="s">
        <v>1241</v>
      </c>
      <c r="Q1216" s="13" t="str">
        <f>INDEX($L:$L, MATCH("forecast", $B:$B, 0))</f>
        <v>&lt;span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v>
      </c>
      <c r="AV1216" s="1" t="s">
        <v>38</v>
      </c>
      <c r="BG1216" s="7" t="s">
        <v>1242</v>
      </c>
      <c r="BH1216" s="1" t="s">
        <v>2110</v>
      </c>
      <c r="BI1216" s="1" t="s">
        <v>6101</v>
      </c>
      <c r="BJ1216" s="1" t="s">
        <v>1875</v>
      </c>
      <c r="BK1216" s="2" t="s">
        <v>6102</v>
      </c>
      <c r="BL1216" s="1" t="s">
        <v>1877</v>
      </c>
      <c r="BM1216" s="2" t="s">
        <v>6103</v>
      </c>
    </row>
    <row r="1217" spans="1:67" ht="144" x14ac:dyDescent="0.45">
      <c r="A1217" s="5">
        <v>1216</v>
      </c>
      <c r="B1217" s="6" t="s">
        <v>954</v>
      </c>
      <c r="C1217" s="6" t="s">
        <v>1816</v>
      </c>
      <c r="D1217" s="7" t="s">
        <v>9794</v>
      </c>
      <c r="E1217" s="1" t="s">
        <v>954</v>
      </c>
      <c r="F1217" s="1"/>
      <c r="G1217" s="1"/>
      <c r="J1217" s="1" t="s">
        <v>9795</v>
      </c>
      <c r="K1217" s="1" t="s">
        <v>6104</v>
      </c>
      <c r="L1217" s="3" t="s">
        <v>9711</v>
      </c>
      <c r="P1217" s="7" t="s">
        <v>1241</v>
      </c>
      <c r="AU1217" s="15"/>
      <c r="AV1217" s="1" t="s">
        <v>38</v>
      </c>
      <c r="BG1217" s="7" t="s">
        <v>1242</v>
      </c>
      <c r="BH1217" s="1" t="s">
        <v>1875</v>
      </c>
      <c r="BI1217" s="2" t="s">
        <v>6105</v>
      </c>
    </row>
    <row r="1218" spans="1:67" ht="234" x14ac:dyDescent="0.45">
      <c r="A1218" s="5">
        <v>1217</v>
      </c>
      <c r="B1218" s="8" t="s">
        <v>955</v>
      </c>
      <c r="C1218" s="6" t="s">
        <v>1816</v>
      </c>
      <c r="D1218" s="7" t="s">
        <v>9794</v>
      </c>
      <c r="E1218" s="1" t="s">
        <v>955</v>
      </c>
      <c r="F1218" s="1"/>
      <c r="G1218" s="1"/>
      <c r="J1218" s="1" t="s">
        <v>9795</v>
      </c>
      <c r="K1218" s="2" t="s">
        <v>9712</v>
      </c>
      <c r="L1218" s="3" t="s">
        <v>9713</v>
      </c>
      <c r="P1218" s="7" t="s">
        <v>1241</v>
      </c>
      <c r="Q1218" s="13"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AV1218" s="1" t="s">
        <v>38</v>
      </c>
      <c r="BG1218" s="7" t="s">
        <v>1242</v>
      </c>
      <c r="BH1218" s="1" t="s">
        <v>1947</v>
      </c>
      <c r="BI1218" s="1" t="s">
        <v>6106</v>
      </c>
      <c r="BJ1218" s="1" t="s">
        <v>1959</v>
      </c>
      <c r="BK1218" s="2" t="s">
        <v>6107</v>
      </c>
      <c r="BL1218" s="1" t="s">
        <v>1875</v>
      </c>
      <c r="BM1218" s="2" t="s">
        <v>6108</v>
      </c>
    </row>
    <row r="1219" spans="1:67" ht="162" x14ac:dyDescent="0.45">
      <c r="A1219" s="5">
        <v>1218</v>
      </c>
      <c r="B1219" s="8" t="s">
        <v>956</v>
      </c>
      <c r="C1219" s="6" t="s">
        <v>1816</v>
      </c>
      <c r="D1219" s="7" t="s">
        <v>9794</v>
      </c>
      <c r="E1219" s="1" t="s">
        <v>6109</v>
      </c>
      <c r="F1219" s="1" t="s">
        <v>1129</v>
      </c>
      <c r="G1219" s="1"/>
      <c r="J1219" s="1" t="s">
        <v>9795</v>
      </c>
      <c r="K1219" s="2" t="s">
        <v>6110</v>
      </c>
      <c r="L1219" s="2" t="s">
        <v>9714</v>
      </c>
      <c r="P1219" s="7" t="s">
        <v>1241</v>
      </c>
      <c r="Q1219" s="13" t="str">
        <f>INDEX($L:$L, MATCH("draw", $B:$B, 0))</f>
        <v>&lt;span class="w"&gt;&lt;b&gt;【112.draw：〜を引き出す, ～を引く, ～を描く】&lt;/b&gt;&lt;/span&gt;
&lt;span class="ml"&gt;古英語dragan（引く）にさかのぼる。
&lt;span class="spacer"&gt;&lt;/span&gt;「引く」という意味から「引き出す」や、線を引く＝「描く」という意味になる。&lt;/span&gt;</v>
      </c>
      <c r="R1219" s="13" t="str">
        <f>INDEX($L:$L, MATCH("drag", $B:$B, 0))</f>
        <v>&lt;span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v>
      </c>
      <c r="AU1219" s="15"/>
      <c r="AV1219" s="1" t="s">
        <v>38</v>
      </c>
      <c r="BG1219" s="7" t="s">
        <v>1242</v>
      </c>
      <c r="BH1219" s="1" t="s">
        <v>1872</v>
      </c>
      <c r="BI1219" s="2" t="s">
        <v>6111</v>
      </c>
      <c r="BJ1219" s="1" t="s">
        <v>1875</v>
      </c>
      <c r="BK1219" s="2" t="s">
        <v>6112</v>
      </c>
      <c r="BL1219" s="1" t="s">
        <v>1877</v>
      </c>
      <c r="BM1219" s="2" t="s">
        <v>6113</v>
      </c>
    </row>
    <row r="1220" spans="1:67" ht="108" x14ac:dyDescent="0.45">
      <c r="A1220" s="5">
        <v>1219</v>
      </c>
      <c r="B1220" s="6" t="s">
        <v>957</v>
      </c>
      <c r="C1220" s="6" t="s">
        <v>1816</v>
      </c>
      <c r="D1220" s="7" t="s">
        <v>9794</v>
      </c>
      <c r="E1220" s="1" t="s">
        <v>957</v>
      </c>
      <c r="F1220" s="1"/>
      <c r="G1220" s="1"/>
      <c r="J1220" s="1" t="s">
        <v>9795</v>
      </c>
      <c r="K1220" s="1" t="s">
        <v>6114</v>
      </c>
      <c r="L1220" s="2" t="s">
        <v>9715</v>
      </c>
      <c r="P1220" s="7" t="s">
        <v>1241</v>
      </c>
      <c r="AV1220" s="1" t="s">
        <v>38</v>
      </c>
      <c r="BG1220" s="7" t="s">
        <v>1242</v>
      </c>
      <c r="BH1220" s="1" t="s">
        <v>1872</v>
      </c>
      <c r="BI1220" s="1" t="s">
        <v>6115</v>
      </c>
      <c r="BJ1220" s="1" t="s">
        <v>1875</v>
      </c>
      <c r="BK1220" s="2" t="s">
        <v>6116</v>
      </c>
    </row>
    <row r="1221" spans="1:67" ht="144" x14ac:dyDescent="0.45">
      <c r="A1221" s="5">
        <v>1220</v>
      </c>
      <c r="B1221" s="6" t="s">
        <v>958</v>
      </c>
      <c r="C1221" s="6" t="s">
        <v>1816</v>
      </c>
      <c r="D1221" s="7" t="s">
        <v>9794</v>
      </c>
      <c r="E1221" s="1" t="s">
        <v>958</v>
      </c>
      <c r="F1221" s="1"/>
      <c r="G1221" s="1"/>
      <c r="J1221" s="1" t="s">
        <v>9795</v>
      </c>
      <c r="K1221" s="1" t="s">
        <v>6117</v>
      </c>
      <c r="L1221" s="2" t="s">
        <v>9716</v>
      </c>
      <c r="P1221" s="7" t="s">
        <v>1241</v>
      </c>
      <c r="AV1221" s="1" t="s">
        <v>38</v>
      </c>
      <c r="BG1221" s="7" t="s">
        <v>1242</v>
      </c>
      <c r="BH1221" s="1" t="s">
        <v>1872</v>
      </c>
      <c r="BI1221" s="1" t="s">
        <v>6118</v>
      </c>
      <c r="BJ1221" s="1" t="s">
        <v>1877</v>
      </c>
      <c r="BK1221" s="2" t="s">
        <v>6119</v>
      </c>
    </row>
    <row r="1222" spans="1:67" ht="108" x14ac:dyDescent="0.45">
      <c r="A1222" s="5">
        <v>1221</v>
      </c>
      <c r="B1222" s="6" t="s">
        <v>959</v>
      </c>
      <c r="C1222" s="6" t="s">
        <v>1816</v>
      </c>
      <c r="D1222" s="7" t="s">
        <v>9794</v>
      </c>
      <c r="E1222" s="1" t="s">
        <v>959</v>
      </c>
      <c r="F1222" s="1"/>
      <c r="G1222" s="1"/>
      <c r="J1222" s="1" t="s">
        <v>9795</v>
      </c>
      <c r="L1222" s="3" t="s">
        <v>10001</v>
      </c>
      <c r="P1222" s="7" t="s">
        <v>1241</v>
      </c>
      <c r="AV1222" s="1" t="s">
        <v>38</v>
      </c>
      <c r="BG1222" s="7" t="s">
        <v>1242</v>
      </c>
      <c r="BH1222" s="1" t="s">
        <v>1872</v>
      </c>
      <c r="BI1222" s="1" t="s">
        <v>6120</v>
      </c>
      <c r="BJ1222" s="1" t="s">
        <v>1875</v>
      </c>
      <c r="BK1222" s="1" t="s">
        <v>6121</v>
      </c>
    </row>
    <row r="1223" spans="1:67" ht="144" x14ac:dyDescent="0.45">
      <c r="A1223" s="5">
        <v>1222</v>
      </c>
      <c r="B1223" s="6" t="s">
        <v>960</v>
      </c>
      <c r="C1223" s="6" t="s">
        <v>1816</v>
      </c>
      <c r="D1223" s="7" t="s">
        <v>9794</v>
      </c>
      <c r="E1223" s="1" t="s">
        <v>960</v>
      </c>
      <c r="F1223" s="1"/>
      <c r="G1223" s="1"/>
      <c r="J1223" s="1" t="s">
        <v>9795</v>
      </c>
      <c r="L1223" s="2" t="s">
        <v>9717</v>
      </c>
      <c r="P1223" s="7" t="s">
        <v>1241</v>
      </c>
      <c r="AV1223" s="1" t="s">
        <v>38</v>
      </c>
      <c r="BG1223" s="7" t="s">
        <v>1242</v>
      </c>
      <c r="BH1223" s="1" t="s">
        <v>1872</v>
      </c>
      <c r="BI1223" s="1" t="s">
        <v>6122</v>
      </c>
      <c r="BJ1223" s="1" t="s">
        <v>1875</v>
      </c>
      <c r="BK1223" s="2" t="s">
        <v>6123</v>
      </c>
      <c r="BL1223" s="1" t="s">
        <v>1877</v>
      </c>
      <c r="BM1223" s="2" t="s">
        <v>6124</v>
      </c>
      <c r="BN1223" s="1" t="s">
        <v>3497</v>
      </c>
      <c r="BO1223" s="2" t="s">
        <v>6125</v>
      </c>
    </row>
    <row r="1224" spans="1:67" ht="180" x14ac:dyDescent="0.45">
      <c r="A1224" s="5">
        <v>1223</v>
      </c>
      <c r="B1224" s="6" t="s">
        <v>961</v>
      </c>
      <c r="C1224" s="6" t="s">
        <v>1816</v>
      </c>
      <c r="D1224" s="7" t="s">
        <v>9794</v>
      </c>
      <c r="E1224" s="6" t="s">
        <v>961</v>
      </c>
      <c r="F1224" s="1"/>
      <c r="G1224" s="1"/>
      <c r="J1224" s="1" t="s">
        <v>9795</v>
      </c>
      <c r="L1224" s="3" t="s">
        <v>9718</v>
      </c>
      <c r="P1224" s="7" t="s">
        <v>1241</v>
      </c>
      <c r="AU1224" s="15"/>
      <c r="AV1224" s="1" t="s">
        <v>38</v>
      </c>
      <c r="BG1224" s="7" t="s">
        <v>1242</v>
      </c>
      <c r="BH1224" s="1" t="s">
        <v>1947</v>
      </c>
      <c r="BI1224" s="2" t="s">
        <v>9719</v>
      </c>
      <c r="BJ1224" s="1" t="s">
        <v>1877</v>
      </c>
      <c r="BK1224" s="2" t="s">
        <v>6126</v>
      </c>
    </row>
    <row r="1225" spans="1:67" ht="144" x14ac:dyDescent="0.45">
      <c r="A1225" s="5">
        <v>1224</v>
      </c>
      <c r="B1225" s="6" t="s">
        <v>962</v>
      </c>
      <c r="C1225" s="6" t="s">
        <v>1816</v>
      </c>
      <c r="D1225" s="7" t="s">
        <v>9794</v>
      </c>
      <c r="E1225" s="1" t="s">
        <v>27</v>
      </c>
      <c r="F1225" s="1" t="s">
        <v>5070</v>
      </c>
      <c r="G1225" s="1"/>
      <c r="J1225" s="1" t="s">
        <v>9795</v>
      </c>
      <c r="L1225" s="3" t="s">
        <v>9720</v>
      </c>
      <c r="P1225" s="7" t="s">
        <v>1241</v>
      </c>
      <c r="AU1225" s="15"/>
      <c r="AV1225" s="1" t="s">
        <v>38</v>
      </c>
      <c r="BG1225" s="7" t="s">
        <v>1242</v>
      </c>
      <c r="BH1225" s="1" t="s">
        <v>1947</v>
      </c>
      <c r="BI1225" s="2" t="s">
        <v>6127</v>
      </c>
      <c r="BJ1225" s="1" t="s">
        <v>1996</v>
      </c>
      <c r="BK1225" s="1" t="s">
        <v>6128</v>
      </c>
      <c r="BL1225" s="1" t="s">
        <v>1877</v>
      </c>
      <c r="BM1225" s="2" t="s">
        <v>6129</v>
      </c>
    </row>
    <row r="1226" spans="1:67" ht="144" x14ac:dyDescent="0.45">
      <c r="A1226" s="5">
        <v>1225</v>
      </c>
      <c r="B1226" s="8" t="s">
        <v>963</v>
      </c>
      <c r="C1226" s="6" t="s">
        <v>1816</v>
      </c>
      <c r="D1226" s="7" t="s">
        <v>9794</v>
      </c>
      <c r="E1226" s="1" t="s">
        <v>1447</v>
      </c>
      <c r="F1226" s="1" t="s">
        <v>60</v>
      </c>
      <c r="G1226" s="1"/>
      <c r="J1226" s="1" t="s">
        <v>9795</v>
      </c>
      <c r="L1226" s="2" t="s">
        <v>9721</v>
      </c>
      <c r="M1226" s="1" t="s">
        <v>12176</v>
      </c>
      <c r="P1226" s="7" t="s">
        <v>1241</v>
      </c>
      <c r="Q1226" s="13"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R1226" s="13"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S1226" s="13"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AU1226" s="15"/>
      <c r="AV1226" s="1" t="s">
        <v>38</v>
      </c>
      <c r="BG1226" s="7" t="s">
        <v>1242</v>
      </c>
      <c r="BH1226" s="1" t="s">
        <v>1875</v>
      </c>
      <c r="BI1226" s="2" t="s">
        <v>6130</v>
      </c>
      <c r="BJ1226" s="1" t="s">
        <v>1877</v>
      </c>
      <c r="BK1226" s="2" t="s">
        <v>6131</v>
      </c>
    </row>
    <row r="1227" spans="1:67" ht="162" x14ac:dyDescent="0.45">
      <c r="A1227" s="5">
        <v>1226</v>
      </c>
      <c r="B1227" s="6" t="s">
        <v>964</v>
      </c>
      <c r="C1227" s="6" t="s">
        <v>1816</v>
      </c>
      <c r="D1227" s="7" t="s">
        <v>9794</v>
      </c>
      <c r="E1227" s="1" t="s">
        <v>964</v>
      </c>
      <c r="F1227" s="1"/>
      <c r="G1227" s="1"/>
      <c r="J1227" s="1" t="s">
        <v>9795</v>
      </c>
      <c r="K1227" s="1" t="s">
        <v>6132</v>
      </c>
      <c r="L1227" s="3" t="s">
        <v>9722</v>
      </c>
      <c r="P1227" s="7" t="s">
        <v>1241</v>
      </c>
      <c r="AV1227" s="1" t="s">
        <v>38</v>
      </c>
      <c r="BG1227" s="7" t="s">
        <v>1242</v>
      </c>
      <c r="BH1227" s="1" t="s">
        <v>1959</v>
      </c>
      <c r="BI1227" s="1" t="s">
        <v>6133</v>
      </c>
      <c r="BJ1227" s="1" t="s">
        <v>1875</v>
      </c>
      <c r="BK1227" s="2" t="s">
        <v>6134</v>
      </c>
    </row>
    <row r="1228" spans="1:67" ht="108" x14ac:dyDescent="0.45">
      <c r="A1228" s="5">
        <v>1227</v>
      </c>
      <c r="B1228" s="6" t="s">
        <v>965</v>
      </c>
      <c r="C1228" s="6" t="s">
        <v>1816</v>
      </c>
      <c r="D1228" s="7" t="s">
        <v>9794</v>
      </c>
      <c r="E1228" s="1" t="s">
        <v>965</v>
      </c>
      <c r="F1228" s="1"/>
      <c r="G1228" s="1"/>
      <c r="J1228" s="1" t="s">
        <v>9795</v>
      </c>
      <c r="L1228" s="2" t="s">
        <v>9723</v>
      </c>
      <c r="P1228" s="7" t="s">
        <v>1241</v>
      </c>
      <c r="AU1228" s="15"/>
      <c r="AV1228" s="1" t="s">
        <v>38</v>
      </c>
      <c r="BG1228" s="7" t="s">
        <v>1242</v>
      </c>
      <c r="BH1228" s="1" t="s">
        <v>4000</v>
      </c>
      <c r="BI1228" s="2" t="s">
        <v>6135</v>
      </c>
      <c r="BJ1228" s="1" t="s">
        <v>1872</v>
      </c>
      <c r="BK1228" s="1" t="s">
        <v>6136</v>
      </c>
      <c r="BL1228" s="1" t="s">
        <v>1875</v>
      </c>
      <c r="BM1228" s="1" t="s">
        <v>6137</v>
      </c>
      <c r="BN1228" s="1" t="s">
        <v>1877</v>
      </c>
      <c r="BO1228" s="2" t="s">
        <v>6138</v>
      </c>
    </row>
    <row r="1229" spans="1:67" ht="126" x14ac:dyDescent="0.45">
      <c r="A1229" s="5">
        <v>1228</v>
      </c>
      <c r="B1229" s="8" t="s">
        <v>966</v>
      </c>
      <c r="C1229" s="6" t="s">
        <v>1816</v>
      </c>
      <c r="D1229" s="7" t="s">
        <v>9794</v>
      </c>
      <c r="E1229" s="1" t="s">
        <v>4310</v>
      </c>
      <c r="F1229" s="1" t="s">
        <v>6139</v>
      </c>
      <c r="G1229" s="1"/>
      <c r="J1229" s="1" t="s">
        <v>9795</v>
      </c>
      <c r="K1229" s="3" t="s">
        <v>6140</v>
      </c>
      <c r="L1229" s="3" t="s">
        <v>9724</v>
      </c>
      <c r="M1229" s="1" t="s">
        <v>12181</v>
      </c>
      <c r="P1229" s="7" t="s">
        <v>1241</v>
      </c>
      <c r="Q1229" s="13"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1229" s="13"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1229" s="13"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T1229" s="13"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U1229" s="13"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1229" s="13"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AU1229" s="15"/>
      <c r="AV1229" s="1" t="s">
        <v>38</v>
      </c>
      <c r="BG1229" s="7" t="s">
        <v>1242</v>
      </c>
      <c r="BH1229" s="1" t="s">
        <v>1947</v>
      </c>
      <c r="BI1229" s="2" t="s">
        <v>9725</v>
      </c>
      <c r="BJ1229" s="1" t="s">
        <v>1959</v>
      </c>
      <c r="BK1229" s="2" t="s">
        <v>6141</v>
      </c>
      <c r="BL1229" s="1" t="s">
        <v>1875</v>
      </c>
      <c r="BM1229" s="2" t="s">
        <v>6142</v>
      </c>
      <c r="BN1229" s="1" t="s">
        <v>1877</v>
      </c>
      <c r="BO1229" s="2" t="s">
        <v>6143</v>
      </c>
    </row>
    <row r="1230" spans="1:67" ht="252" x14ac:dyDescent="0.45">
      <c r="A1230" s="5">
        <v>1229</v>
      </c>
      <c r="B1230" s="6" t="s">
        <v>967</v>
      </c>
      <c r="C1230" s="6" t="s">
        <v>1816</v>
      </c>
      <c r="D1230" s="7" t="s">
        <v>9794</v>
      </c>
      <c r="E1230" s="1" t="s">
        <v>967</v>
      </c>
      <c r="F1230" s="1"/>
      <c r="G1230" s="1"/>
      <c r="J1230" s="1" t="s">
        <v>9795</v>
      </c>
      <c r="K1230" s="1" t="s">
        <v>9726</v>
      </c>
      <c r="L1230" s="2" t="s">
        <v>9727</v>
      </c>
      <c r="P1230" s="7" t="s">
        <v>1241</v>
      </c>
      <c r="AU1230" s="15"/>
      <c r="AV1230" s="1" t="s">
        <v>38</v>
      </c>
      <c r="BG1230" s="7" t="s">
        <v>1242</v>
      </c>
      <c r="BH1230" s="1" t="s">
        <v>1875</v>
      </c>
      <c r="BI1230" s="2" t="s">
        <v>6144</v>
      </c>
      <c r="BJ1230" s="1" t="s">
        <v>1877</v>
      </c>
      <c r="BK1230" s="2" t="s">
        <v>6145</v>
      </c>
    </row>
    <row r="1231" spans="1:67" ht="126" x14ac:dyDescent="0.45">
      <c r="A1231" s="5">
        <v>1230</v>
      </c>
      <c r="B1231" s="6" t="s">
        <v>968</v>
      </c>
      <c r="C1231" s="6" t="s">
        <v>1816</v>
      </c>
      <c r="D1231" s="7" t="s">
        <v>9794</v>
      </c>
      <c r="E1231" s="1" t="s">
        <v>5376</v>
      </c>
      <c r="F1231" s="1" t="s">
        <v>6146</v>
      </c>
      <c r="G1231" s="1"/>
      <c r="J1231" s="1" t="s">
        <v>9795</v>
      </c>
      <c r="L1231" s="2" t="s">
        <v>9728</v>
      </c>
      <c r="P1231" s="7" t="s">
        <v>1241</v>
      </c>
      <c r="AU1231" s="15"/>
      <c r="AV1231" s="1" t="s">
        <v>38</v>
      </c>
      <c r="BG1231" s="7" t="s">
        <v>1242</v>
      </c>
      <c r="BH1231" s="1" t="s">
        <v>1872</v>
      </c>
      <c r="BI1231" s="2" t="s">
        <v>6147</v>
      </c>
      <c r="BJ1231" s="1" t="s">
        <v>1875</v>
      </c>
      <c r="BK1231" s="1" t="s">
        <v>6148</v>
      </c>
    </row>
    <row r="1232" spans="1:67" ht="144" x14ac:dyDescent="0.45">
      <c r="A1232" s="5">
        <v>1231</v>
      </c>
      <c r="B1232" s="8" t="s">
        <v>969</v>
      </c>
      <c r="C1232" s="6" t="s">
        <v>1816</v>
      </c>
      <c r="D1232" s="7" t="s">
        <v>9794</v>
      </c>
      <c r="E1232" s="1" t="s">
        <v>1251</v>
      </c>
      <c r="F1232" s="1" t="s">
        <v>6149</v>
      </c>
      <c r="G1232" s="1"/>
      <c r="J1232" s="1" t="s">
        <v>9795</v>
      </c>
      <c r="L1232" s="3" t="s">
        <v>9729</v>
      </c>
      <c r="M1232" s="1" t="s">
        <v>12187</v>
      </c>
      <c r="P1232" s="7" t="s">
        <v>1241</v>
      </c>
      <c r="Q1232" s="13"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1232" s="13"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1232" s="13"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T1232" s="13"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U1232" s="13"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1232" s="13"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1232"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1232" s="15"/>
      <c r="AV1232" s="1" t="s">
        <v>38</v>
      </c>
      <c r="BG1232" s="7" t="s">
        <v>1242</v>
      </c>
      <c r="BH1232" s="1" t="s">
        <v>1947</v>
      </c>
      <c r="BI1232" s="2" t="s">
        <v>6150</v>
      </c>
      <c r="BJ1232" s="1" t="s">
        <v>1959</v>
      </c>
      <c r="BK1232" s="2" t="s">
        <v>6151</v>
      </c>
      <c r="BL1232" s="1" t="s">
        <v>1877</v>
      </c>
      <c r="BM1232" s="2" t="s">
        <v>6152</v>
      </c>
    </row>
    <row r="1233" spans="1:69" ht="144" x14ac:dyDescent="0.45">
      <c r="A1233" s="5">
        <v>1232</v>
      </c>
      <c r="B1233" s="6" t="s">
        <v>970</v>
      </c>
      <c r="C1233" s="6" t="s">
        <v>1816</v>
      </c>
      <c r="D1233" s="7" t="s">
        <v>9794</v>
      </c>
      <c r="E1233" s="1" t="s">
        <v>1251</v>
      </c>
      <c r="F1233" s="1" t="s">
        <v>6153</v>
      </c>
      <c r="G1233" s="1"/>
      <c r="J1233" s="1" t="s">
        <v>9795</v>
      </c>
      <c r="K1233" s="1" t="s">
        <v>9730</v>
      </c>
      <c r="L1233" s="2" t="s">
        <v>9731</v>
      </c>
      <c r="P1233" s="7" t="s">
        <v>1241</v>
      </c>
      <c r="Q1233" s="13"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1233" s="13"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1233" s="13"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T1233" s="13"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U1233" s="13"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AV1233" s="1" t="s">
        <v>38</v>
      </c>
      <c r="BG1233" s="7" t="s">
        <v>1242</v>
      </c>
      <c r="BH1233" s="1" t="s">
        <v>1947</v>
      </c>
      <c r="BI1233" s="1" t="s">
        <v>6154</v>
      </c>
      <c r="BJ1233" s="1" t="s">
        <v>1959</v>
      </c>
      <c r="BK1233" s="2" t="s">
        <v>6155</v>
      </c>
      <c r="BL1233" s="1" t="s">
        <v>1996</v>
      </c>
      <c r="BM1233" s="2" t="s">
        <v>6156</v>
      </c>
      <c r="BN1233" s="1" t="s">
        <v>1877</v>
      </c>
      <c r="BO1233" s="2" t="s">
        <v>6157</v>
      </c>
    </row>
    <row r="1234" spans="1:69" ht="126" x14ac:dyDescent="0.45">
      <c r="A1234" s="5">
        <v>1233</v>
      </c>
      <c r="B1234" s="6" t="s">
        <v>971</v>
      </c>
      <c r="C1234" s="6" t="s">
        <v>1816</v>
      </c>
      <c r="D1234" s="7" t="s">
        <v>9794</v>
      </c>
      <c r="E1234" s="6" t="s">
        <v>971</v>
      </c>
      <c r="F1234" s="1"/>
      <c r="G1234" s="1"/>
      <c r="J1234" s="1" t="s">
        <v>9795</v>
      </c>
      <c r="K1234" s="1" t="s">
        <v>9732</v>
      </c>
      <c r="L1234" s="3" t="s">
        <v>9733</v>
      </c>
      <c r="P1234" s="7" t="s">
        <v>1241</v>
      </c>
      <c r="AV1234" s="1" t="s">
        <v>38</v>
      </c>
      <c r="BG1234" s="7" t="s">
        <v>1242</v>
      </c>
      <c r="BH1234" s="1" t="s">
        <v>1976</v>
      </c>
      <c r="BI1234" s="1" t="s">
        <v>6158</v>
      </c>
      <c r="BJ1234" s="1" t="s">
        <v>1872</v>
      </c>
      <c r="BK1234" s="1" t="s">
        <v>6159</v>
      </c>
      <c r="BL1234" s="1" t="s">
        <v>1875</v>
      </c>
      <c r="BM1234" s="2" t="s">
        <v>6160</v>
      </c>
      <c r="BN1234" s="1" t="s">
        <v>1877</v>
      </c>
      <c r="BO1234" s="2" t="s">
        <v>6161</v>
      </c>
    </row>
    <row r="1235" spans="1:69" ht="126" x14ac:dyDescent="0.45">
      <c r="A1235" s="5">
        <v>1234</v>
      </c>
      <c r="B1235" s="6" t="s">
        <v>972</v>
      </c>
      <c r="C1235" s="6" t="s">
        <v>1816</v>
      </c>
      <c r="D1235" s="7" t="s">
        <v>9794</v>
      </c>
      <c r="E1235" s="6" t="s">
        <v>972</v>
      </c>
      <c r="F1235" s="1"/>
      <c r="G1235" s="1"/>
      <c r="J1235" s="1" t="s">
        <v>9795</v>
      </c>
      <c r="L1235" s="2" t="s">
        <v>9734</v>
      </c>
      <c r="P1235" s="7" t="s">
        <v>1241</v>
      </c>
      <c r="AV1235" s="1" t="s">
        <v>38</v>
      </c>
      <c r="BG1235" s="7" t="s">
        <v>1242</v>
      </c>
      <c r="BH1235" s="1" t="s">
        <v>1959</v>
      </c>
      <c r="BI1235" s="1" t="s">
        <v>6162</v>
      </c>
      <c r="BJ1235" s="1" t="s">
        <v>1875</v>
      </c>
      <c r="BK1235" s="2" t="s">
        <v>6163</v>
      </c>
    </row>
    <row r="1236" spans="1:69" ht="72" x14ac:dyDescent="0.45">
      <c r="A1236" s="5">
        <v>1235</v>
      </c>
      <c r="B1236" s="6" t="s">
        <v>973</v>
      </c>
      <c r="C1236" s="6" t="s">
        <v>1816</v>
      </c>
      <c r="D1236" s="7" t="s">
        <v>9794</v>
      </c>
      <c r="E1236" s="1" t="s">
        <v>973</v>
      </c>
      <c r="F1236" s="1"/>
      <c r="G1236" s="1"/>
      <c r="J1236" s="1" t="s">
        <v>9795</v>
      </c>
      <c r="L1236" s="2" t="s">
        <v>9735</v>
      </c>
      <c r="P1236" s="7" t="s">
        <v>1241</v>
      </c>
      <c r="AV1236" s="1" t="s">
        <v>38</v>
      </c>
      <c r="BG1236" s="7" t="s">
        <v>1242</v>
      </c>
      <c r="BH1236" s="1" t="s">
        <v>1872</v>
      </c>
      <c r="BI1236" s="1" t="s">
        <v>6164</v>
      </c>
      <c r="BJ1236" s="1" t="s">
        <v>1875</v>
      </c>
      <c r="BK1236" s="2" t="s">
        <v>6165</v>
      </c>
    </row>
    <row r="1237" spans="1:69" ht="108" x14ac:dyDescent="0.45">
      <c r="A1237" s="5">
        <v>1236</v>
      </c>
      <c r="B1237" s="6" t="s">
        <v>974</v>
      </c>
      <c r="C1237" s="6" t="s">
        <v>1816</v>
      </c>
      <c r="D1237" s="7" t="s">
        <v>9794</v>
      </c>
      <c r="E1237" s="1" t="s">
        <v>1941</v>
      </c>
      <c r="F1237" s="1" t="s">
        <v>1728</v>
      </c>
      <c r="G1237" s="1"/>
      <c r="J1237" s="1" t="s">
        <v>9795</v>
      </c>
      <c r="K1237" s="1" t="s">
        <v>6166</v>
      </c>
      <c r="L1237" s="2" t="s">
        <v>9736</v>
      </c>
      <c r="P1237" s="7" t="s">
        <v>1241</v>
      </c>
      <c r="AU1237" s="15"/>
      <c r="AV1237" s="1" t="s">
        <v>38</v>
      </c>
      <c r="BG1237" s="7" t="s">
        <v>1242</v>
      </c>
      <c r="BH1237" s="1" t="s">
        <v>1875</v>
      </c>
      <c r="BI1237" s="2" t="s">
        <v>6167</v>
      </c>
    </row>
    <row r="1238" spans="1:69" ht="216" x14ac:dyDescent="0.45">
      <c r="A1238" s="5">
        <v>1237</v>
      </c>
      <c r="B1238" s="8" t="s">
        <v>975</v>
      </c>
      <c r="C1238" s="6" t="s">
        <v>1816</v>
      </c>
      <c r="D1238" s="7" t="s">
        <v>9794</v>
      </c>
      <c r="E1238" s="1" t="s">
        <v>1413</v>
      </c>
      <c r="F1238" s="1" t="s">
        <v>6168</v>
      </c>
      <c r="G1238" s="1"/>
      <c r="J1238" s="1" t="s">
        <v>9795</v>
      </c>
      <c r="L1238" s="3" t="s">
        <v>9737</v>
      </c>
      <c r="M1238" s="1" t="s">
        <v>12209</v>
      </c>
      <c r="P1238" s="7" t="s">
        <v>1241</v>
      </c>
      <c r="Q1238" s="13"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1238" s="13"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1238" s="13"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1238" s="13"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U1238" s="13"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1238" s="13"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1238" s="13"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AU1238" s="15"/>
      <c r="AV1238" s="1" t="s">
        <v>38</v>
      </c>
      <c r="BG1238" s="7" t="s">
        <v>1242</v>
      </c>
      <c r="BH1238" s="1" t="s">
        <v>1947</v>
      </c>
      <c r="BI1238" s="2" t="s">
        <v>6169</v>
      </c>
      <c r="BJ1238" s="1" t="s">
        <v>1959</v>
      </c>
      <c r="BK1238" s="2" t="s">
        <v>6170</v>
      </c>
      <c r="BL1238" s="1" t="s">
        <v>1875</v>
      </c>
      <c r="BM1238" s="2" t="s">
        <v>6171</v>
      </c>
      <c r="BN1238" s="1" t="s">
        <v>1877</v>
      </c>
      <c r="BO1238" s="2" t="s">
        <v>6172</v>
      </c>
    </row>
    <row r="1239" spans="1:69" ht="180" x14ac:dyDescent="0.45">
      <c r="A1239" s="5">
        <v>1238</v>
      </c>
      <c r="B1239" s="8" t="s">
        <v>976</v>
      </c>
      <c r="C1239" s="6" t="s">
        <v>1816</v>
      </c>
      <c r="D1239" s="7" t="s">
        <v>9794</v>
      </c>
      <c r="E1239" s="1" t="s">
        <v>29</v>
      </c>
      <c r="F1239" s="1" t="s">
        <v>5887</v>
      </c>
      <c r="G1239" s="1" t="s">
        <v>1517</v>
      </c>
      <c r="J1239" s="1" t="s">
        <v>9795</v>
      </c>
      <c r="L1239" s="3" t="s">
        <v>9738</v>
      </c>
      <c r="M1239" s="1" t="s">
        <v>12184</v>
      </c>
      <c r="P1239" s="7" t="s">
        <v>1241</v>
      </c>
      <c r="Q1239" s="13"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1239" s="13"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S1239" s="13"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T1239" s="13"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1239" s="13"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U1239" s="15"/>
      <c r="AV1239" s="1" t="s">
        <v>38</v>
      </c>
      <c r="BG1239" s="7" t="s">
        <v>1242</v>
      </c>
      <c r="BH1239" s="1" t="s">
        <v>1947</v>
      </c>
      <c r="BI1239" s="2" t="s">
        <v>6173</v>
      </c>
      <c r="BJ1239" s="1" t="s">
        <v>2036</v>
      </c>
      <c r="BK1239" s="2" t="s">
        <v>6174</v>
      </c>
      <c r="BL1239" s="1" t="s">
        <v>1875</v>
      </c>
      <c r="BM1239" s="2" t="s">
        <v>6175</v>
      </c>
      <c r="BN1239" s="1" t="s">
        <v>1877</v>
      </c>
      <c r="BO1239" s="2" t="s">
        <v>6176</v>
      </c>
    </row>
    <row r="1240" spans="1:69" ht="198" x14ac:dyDescent="0.45">
      <c r="A1240" s="5">
        <v>1239</v>
      </c>
      <c r="B1240" s="8" t="s">
        <v>977</v>
      </c>
      <c r="C1240" s="6" t="s">
        <v>1816</v>
      </c>
      <c r="D1240" s="7" t="s">
        <v>9794</v>
      </c>
      <c r="E1240" s="1" t="s">
        <v>27</v>
      </c>
      <c r="F1240" s="1" t="s">
        <v>6177</v>
      </c>
      <c r="G1240" s="1"/>
      <c r="J1240" s="1" t="s">
        <v>9795</v>
      </c>
      <c r="L1240" s="3" t="s">
        <v>9739</v>
      </c>
      <c r="M1240" s="1" t="s">
        <v>12212</v>
      </c>
      <c r="P1240" s="7" t="s">
        <v>1241</v>
      </c>
      <c r="Q1240" s="13"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1240" s="13"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S1240" s="13"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AU1240" s="15"/>
      <c r="AV1240" s="1" t="s">
        <v>38</v>
      </c>
      <c r="BG1240" s="7" t="s">
        <v>1242</v>
      </c>
      <c r="BH1240" s="1" t="s">
        <v>1947</v>
      </c>
      <c r="BI1240" s="2" t="s">
        <v>6178</v>
      </c>
      <c r="BJ1240" s="1" t="s">
        <v>1877</v>
      </c>
      <c r="BK1240" s="2" t="s">
        <v>6179</v>
      </c>
    </row>
    <row r="1241" spans="1:69" ht="162" x14ac:dyDescent="0.45">
      <c r="A1241" s="5">
        <v>1240</v>
      </c>
      <c r="B1241" s="8" t="s">
        <v>978</v>
      </c>
      <c r="C1241" s="6" t="s">
        <v>1816</v>
      </c>
      <c r="D1241" s="7" t="s">
        <v>9794</v>
      </c>
      <c r="E1241" s="1" t="s">
        <v>27</v>
      </c>
      <c r="F1241" s="1" t="s">
        <v>6180</v>
      </c>
      <c r="G1241" s="1"/>
      <c r="J1241" s="1" t="s">
        <v>9795</v>
      </c>
      <c r="L1241" s="2" t="s">
        <v>9740</v>
      </c>
      <c r="P1241" s="7" t="s">
        <v>1241</v>
      </c>
      <c r="Q1241" s="13" t="str">
        <f>INDEX($L:$L, MATCH("corporation", $B:$B, 0))</f>
        <v>&lt;span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v>
      </c>
      <c r="AU1241" s="15"/>
      <c r="AV1241" s="1" t="s">
        <v>38</v>
      </c>
      <c r="BG1241" s="7" t="s">
        <v>1242</v>
      </c>
      <c r="BH1241" s="1" t="s">
        <v>1947</v>
      </c>
      <c r="BI1241" s="2" t="s">
        <v>6181</v>
      </c>
      <c r="BJ1241" s="1" t="s">
        <v>2036</v>
      </c>
      <c r="BK1241" s="2" t="s">
        <v>6182</v>
      </c>
      <c r="BL1241" s="1" t="s">
        <v>1875</v>
      </c>
      <c r="BM1241" s="2" t="s">
        <v>6183</v>
      </c>
      <c r="BN1241" s="1" t="s">
        <v>1877</v>
      </c>
      <c r="BO1241" s="2" t="s">
        <v>6184</v>
      </c>
    </row>
    <row r="1242" spans="1:69" ht="162" x14ac:dyDescent="0.45">
      <c r="A1242" s="5">
        <v>1241</v>
      </c>
      <c r="B1242" s="6" t="s">
        <v>979</v>
      </c>
      <c r="C1242" s="6" t="s">
        <v>6851</v>
      </c>
      <c r="D1242" s="7" t="s">
        <v>9794</v>
      </c>
      <c r="E1242" s="1" t="s">
        <v>31</v>
      </c>
      <c r="F1242" s="1" t="s">
        <v>810</v>
      </c>
      <c r="G1242" s="1"/>
      <c r="J1242" s="1" t="s">
        <v>9795</v>
      </c>
      <c r="K1242" s="1" t="s">
        <v>9745</v>
      </c>
      <c r="L1242" s="2" t="s">
        <v>9746</v>
      </c>
      <c r="P1242" s="7" t="s">
        <v>1241</v>
      </c>
      <c r="AV1242" s="1" t="s">
        <v>38</v>
      </c>
      <c r="BG1242" s="7" t="s">
        <v>1242</v>
      </c>
      <c r="BH1242" s="1" t="s">
        <v>1947</v>
      </c>
      <c r="BI1242" s="1" t="s">
        <v>6185</v>
      </c>
      <c r="BJ1242" s="1" t="s">
        <v>2036</v>
      </c>
      <c r="BK1242" s="1" t="s">
        <v>6186</v>
      </c>
      <c r="BL1242" s="1" t="s">
        <v>3566</v>
      </c>
      <c r="BM1242" s="2" t="s">
        <v>9747</v>
      </c>
      <c r="BN1242" s="1" t="s">
        <v>1877</v>
      </c>
      <c r="BO1242" s="2" t="s">
        <v>6187</v>
      </c>
    </row>
    <row r="1243" spans="1:69" ht="144" x14ac:dyDescent="0.45">
      <c r="A1243" s="5">
        <v>1242</v>
      </c>
      <c r="B1243" s="8" t="s">
        <v>980</v>
      </c>
      <c r="C1243" s="6" t="s">
        <v>6851</v>
      </c>
      <c r="D1243" s="7" t="s">
        <v>9794</v>
      </c>
      <c r="E1243" s="1" t="s">
        <v>1329</v>
      </c>
      <c r="F1243" s="1" t="s">
        <v>6188</v>
      </c>
      <c r="G1243" s="1"/>
      <c r="J1243" s="1" t="s">
        <v>9795</v>
      </c>
      <c r="L1243" s="3" t="s">
        <v>9766</v>
      </c>
      <c r="P1243" s="7" t="s">
        <v>1241</v>
      </c>
      <c r="Q1243" s="13"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1243" s="13"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S1243" s="13"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AU1243" s="15"/>
      <c r="AV1243" s="1" t="s">
        <v>38</v>
      </c>
      <c r="BG1243" s="7" t="s">
        <v>1242</v>
      </c>
      <c r="BH1243" s="1" t="s">
        <v>1947</v>
      </c>
      <c r="BI1243" s="2" t="s">
        <v>6189</v>
      </c>
      <c r="BJ1243" s="1" t="s">
        <v>1959</v>
      </c>
      <c r="BK1243" s="1" t="s">
        <v>6190</v>
      </c>
      <c r="BL1243" s="1" t="s">
        <v>2114</v>
      </c>
      <c r="BM1243" s="1" t="s">
        <v>6191</v>
      </c>
      <c r="BN1243" s="1" t="s">
        <v>1875</v>
      </c>
      <c r="BO1243" s="2" t="s">
        <v>6192</v>
      </c>
    </row>
    <row r="1244" spans="1:69" ht="126" x14ac:dyDescent="0.45">
      <c r="A1244" s="5">
        <v>1243</v>
      </c>
      <c r="B1244" s="8" t="s">
        <v>981</v>
      </c>
      <c r="C1244" s="6" t="s">
        <v>6851</v>
      </c>
      <c r="D1244" s="7" t="s">
        <v>9794</v>
      </c>
      <c r="E1244" s="1" t="s">
        <v>29</v>
      </c>
      <c r="F1244" s="1" t="s">
        <v>6193</v>
      </c>
      <c r="G1244" s="1"/>
      <c r="J1244" s="1" t="s">
        <v>9795</v>
      </c>
      <c r="L1244" s="2" t="s">
        <v>9748</v>
      </c>
      <c r="P1244" s="7" t="s">
        <v>1241</v>
      </c>
      <c r="Q1244" s="13"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R1244" s="13"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S1244" s="13"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AU1244" s="15"/>
      <c r="AV1244" s="1" t="s">
        <v>38</v>
      </c>
      <c r="BG1244" s="7" t="s">
        <v>1242</v>
      </c>
      <c r="BH1244" s="1" t="s">
        <v>1947</v>
      </c>
      <c r="BI1244" s="2" t="s">
        <v>6194</v>
      </c>
      <c r="BJ1244" s="1" t="s">
        <v>1875</v>
      </c>
      <c r="BK1244" s="2" t="s">
        <v>6195</v>
      </c>
      <c r="BL1244" s="1" t="s">
        <v>1877</v>
      </c>
      <c r="BM1244" s="2" t="s">
        <v>6196</v>
      </c>
    </row>
    <row r="1245" spans="1:69" ht="90" x14ac:dyDescent="0.45">
      <c r="A1245" s="5">
        <v>1244</v>
      </c>
      <c r="B1245" s="8" t="s">
        <v>982</v>
      </c>
      <c r="C1245" s="6" t="s">
        <v>6851</v>
      </c>
      <c r="D1245" s="7" t="s">
        <v>9794</v>
      </c>
      <c r="E1245" s="1" t="s">
        <v>982</v>
      </c>
      <c r="F1245" s="1"/>
      <c r="G1245" s="1"/>
      <c r="J1245" s="1" t="s">
        <v>9795</v>
      </c>
      <c r="K1245" s="1" t="s">
        <v>9749</v>
      </c>
      <c r="L1245" s="2" t="s">
        <v>9750</v>
      </c>
      <c r="M1245" s="1" t="s">
        <v>12173</v>
      </c>
      <c r="P1245" s="7" t="s">
        <v>1241</v>
      </c>
      <c r="Q1245" s="13" t="str">
        <f>INDEX($L:$L, MATCH("describe", $B:$B, 0))</f>
        <v>&lt;span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v>
      </c>
      <c r="AU1245" s="15"/>
      <c r="AV1245" s="1" t="s">
        <v>38</v>
      </c>
      <c r="BG1245" s="7" t="s">
        <v>1242</v>
      </c>
      <c r="BH1245" s="1" t="s">
        <v>1947</v>
      </c>
      <c r="BI1245" s="2" t="s">
        <v>6197</v>
      </c>
      <c r="BJ1245" s="1" t="s">
        <v>1959</v>
      </c>
      <c r="BK1245" s="1" t="s">
        <v>6198</v>
      </c>
      <c r="BL1245" s="1" t="s">
        <v>2114</v>
      </c>
      <c r="BM1245" s="1" t="s">
        <v>6199</v>
      </c>
      <c r="BN1245" s="1" t="s">
        <v>1875</v>
      </c>
      <c r="BO1245" s="2" t="s">
        <v>6200</v>
      </c>
      <c r="BP1245" s="1" t="s">
        <v>1877</v>
      </c>
      <c r="BQ1245" s="2" t="s">
        <v>6201</v>
      </c>
    </row>
    <row r="1246" spans="1:69" ht="144" x14ac:dyDescent="0.45">
      <c r="A1246" s="5">
        <v>1245</v>
      </c>
      <c r="B1246" s="8" t="s">
        <v>983</v>
      </c>
      <c r="C1246" s="6" t="s">
        <v>6851</v>
      </c>
      <c r="D1246" s="7" t="s">
        <v>9794</v>
      </c>
      <c r="E1246" s="1" t="s">
        <v>6202</v>
      </c>
      <c r="F1246" s="1" t="s">
        <v>6203</v>
      </c>
      <c r="G1246" s="1" t="s">
        <v>1541</v>
      </c>
      <c r="J1246" s="1" t="s">
        <v>9795</v>
      </c>
      <c r="K1246" s="2" t="s">
        <v>9751</v>
      </c>
      <c r="L1246" s="2" t="s">
        <v>9752</v>
      </c>
      <c r="M1246" s="1" t="s">
        <v>12240</v>
      </c>
      <c r="P1246" s="7" t="s">
        <v>1241</v>
      </c>
      <c r="Q1246"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246"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1246"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1246"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1246"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1246"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W1246"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1246"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1246"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1246"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A1246" s="13" t="str">
        <f>INDEX($L:$L, MATCH("annual", $B:$B, 0))</f>
        <v>&lt;span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v>
      </c>
      <c r="AB1246" s="13" t="str">
        <f>INDEX($L:$L, MATCH("millennium", $B:$B, 0))</f>
        <v>&lt;span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v>
      </c>
      <c r="AU1246" s="15"/>
      <c r="AV1246" s="1" t="s">
        <v>38</v>
      </c>
      <c r="BG1246" s="7" t="s">
        <v>1242</v>
      </c>
      <c r="BH1246" s="1" t="s">
        <v>1947</v>
      </c>
      <c r="BI1246" s="2" t="s">
        <v>6204</v>
      </c>
      <c r="BJ1246" s="1" t="s">
        <v>1967</v>
      </c>
      <c r="BK1246" s="2" t="s">
        <v>6205</v>
      </c>
      <c r="BL1246" s="1" t="s">
        <v>1875</v>
      </c>
      <c r="BM1246" s="2" t="s">
        <v>6206</v>
      </c>
    </row>
    <row r="1247" spans="1:69" ht="216" x14ac:dyDescent="0.45">
      <c r="A1247" s="5">
        <v>1246</v>
      </c>
      <c r="B1247" s="8" t="s">
        <v>984</v>
      </c>
      <c r="C1247" s="6" t="s">
        <v>6851</v>
      </c>
      <c r="D1247" s="7" t="s">
        <v>9794</v>
      </c>
      <c r="E1247" s="1" t="s">
        <v>6207</v>
      </c>
      <c r="F1247" s="1" t="s">
        <v>1584</v>
      </c>
      <c r="G1247" s="1"/>
      <c r="J1247" s="1" t="s">
        <v>9795</v>
      </c>
      <c r="L1247" s="3" t="s">
        <v>9753</v>
      </c>
      <c r="M1247" s="1" t="s">
        <v>12181</v>
      </c>
      <c r="P1247" s="7" t="s">
        <v>1241</v>
      </c>
      <c r="Q1247" s="13"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1247" s="13"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1247" s="13"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T1247" s="13"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1247" s="13"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1247" s="13"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AU1247" s="15"/>
      <c r="AV1247" s="1" t="s">
        <v>38</v>
      </c>
      <c r="BG1247" s="7" t="s">
        <v>1242</v>
      </c>
      <c r="BH1247" s="1" t="s">
        <v>1947</v>
      </c>
      <c r="BI1247" s="2" t="s">
        <v>6208</v>
      </c>
      <c r="BJ1247" s="1" t="s">
        <v>1959</v>
      </c>
      <c r="BK1247" s="2" t="s">
        <v>6209</v>
      </c>
      <c r="BL1247" s="1" t="s">
        <v>1875</v>
      </c>
      <c r="BM1247" s="2" t="s">
        <v>6210</v>
      </c>
      <c r="BN1247" s="1" t="s">
        <v>1877</v>
      </c>
      <c r="BO1247" s="2" t="s">
        <v>6211</v>
      </c>
    </row>
    <row r="1248" spans="1:69" ht="162" x14ac:dyDescent="0.45">
      <c r="A1248" s="5">
        <v>1247</v>
      </c>
      <c r="B1248" s="6" t="s">
        <v>985</v>
      </c>
      <c r="C1248" s="6" t="s">
        <v>6851</v>
      </c>
      <c r="D1248" s="7" t="s">
        <v>9794</v>
      </c>
      <c r="E1248" s="1" t="s">
        <v>985</v>
      </c>
      <c r="F1248" s="1"/>
      <c r="G1248" s="1"/>
      <c r="J1248" s="1" t="s">
        <v>9795</v>
      </c>
      <c r="L1248" s="2" t="s">
        <v>9754</v>
      </c>
      <c r="P1248" s="7" t="s">
        <v>1241</v>
      </c>
      <c r="AV1248" s="1" t="s">
        <v>38</v>
      </c>
      <c r="BG1248" s="7" t="s">
        <v>1242</v>
      </c>
      <c r="BH1248" s="1" t="s">
        <v>1947</v>
      </c>
      <c r="BI1248" s="1" t="s">
        <v>6212</v>
      </c>
      <c r="BJ1248" s="1" t="s">
        <v>1872</v>
      </c>
      <c r="BK1248" s="1" t="s">
        <v>6213</v>
      </c>
      <c r="BL1248" s="1" t="s">
        <v>1875</v>
      </c>
      <c r="BM1248" s="2" t="s">
        <v>6214</v>
      </c>
      <c r="BN1248" s="1" t="s">
        <v>1877</v>
      </c>
      <c r="BO1248" s="2" t="s">
        <v>6215</v>
      </c>
    </row>
    <row r="1249" spans="1:69" ht="126" x14ac:dyDescent="0.45">
      <c r="A1249" s="5">
        <v>1248</v>
      </c>
      <c r="B1249" s="6" t="s">
        <v>986</v>
      </c>
      <c r="C1249" s="6" t="s">
        <v>6851</v>
      </c>
      <c r="D1249" s="7" t="s">
        <v>9794</v>
      </c>
      <c r="E1249" s="1" t="s">
        <v>986</v>
      </c>
      <c r="F1249" s="1"/>
      <c r="G1249" s="1"/>
      <c r="J1249" s="1" t="s">
        <v>9795</v>
      </c>
      <c r="L1249" s="3" t="s">
        <v>9755</v>
      </c>
      <c r="P1249" s="7" t="s">
        <v>1241</v>
      </c>
      <c r="AV1249" s="1" t="s">
        <v>38</v>
      </c>
      <c r="BG1249" s="7" t="s">
        <v>1242</v>
      </c>
      <c r="BH1249" s="1" t="s">
        <v>1947</v>
      </c>
      <c r="BI1249" s="1" t="s">
        <v>6216</v>
      </c>
      <c r="BJ1249" s="1" t="s">
        <v>1877</v>
      </c>
      <c r="BK1249" s="2" t="s">
        <v>6217</v>
      </c>
    </row>
    <row r="1250" spans="1:69" ht="126" x14ac:dyDescent="0.45">
      <c r="A1250" s="5">
        <v>1249</v>
      </c>
      <c r="B1250" s="6" t="s">
        <v>987</v>
      </c>
      <c r="C1250" s="6" t="s">
        <v>6851</v>
      </c>
      <c r="D1250" s="7" t="s">
        <v>9794</v>
      </c>
      <c r="E1250" s="1" t="s">
        <v>6218</v>
      </c>
      <c r="F1250" s="1" t="s">
        <v>6219</v>
      </c>
      <c r="G1250" s="1"/>
      <c r="J1250" s="1" t="s">
        <v>9795</v>
      </c>
      <c r="K1250" s="2" t="s">
        <v>9756</v>
      </c>
      <c r="L1250" s="2" t="s">
        <v>9757</v>
      </c>
      <c r="P1250" s="7" t="s">
        <v>1241</v>
      </c>
      <c r="AU1250" s="15"/>
      <c r="AV1250" s="1" t="s">
        <v>38</v>
      </c>
      <c r="BG1250" s="7" t="s">
        <v>1242</v>
      </c>
      <c r="BH1250" s="1" t="s">
        <v>2458</v>
      </c>
      <c r="BI1250" s="2" t="s">
        <v>6220</v>
      </c>
      <c r="BJ1250" s="1" t="s">
        <v>5894</v>
      </c>
      <c r="BK1250" s="1" t="s">
        <v>6221</v>
      </c>
      <c r="BL1250" s="1" t="s">
        <v>1877</v>
      </c>
      <c r="BM1250" s="2" t="s">
        <v>6222</v>
      </c>
    </row>
    <row r="1251" spans="1:69" ht="306" x14ac:dyDescent="0.45">
      <c r="A1251" s="5">
        <v>1250</v>
      </c>
      <c r="B1251" s="6" t="s">
        <v>988</v>
      </c>
      <c r="C1251" s="6" t="s">
        <v>6851</v>
      </c>
      <c r="D1251" s="7" t="s">
        <v>9794</v>
      </c>
      <c r="E1251" s="1" t="s">
        <v>988</v>
      </c>
      <c r="F1251" s="1"/>
      <c r="G1251" s="1"/>
      <c r="J1251" s="1" t="s">
        <v>9795</v>
      </c>
      <c r="K1251" s="1" t="s">
        <v>9758</v>
      </c>
      <c r="L1251" s="2" t="s">
        <v>9759</v>
      </c>
      <c r="P1251" s="7" t="s">
        <v>1241</v>
      </c>
      <c r="AV1251" s="1" t="s">
        <v>38</v>
      </c>
      <c r="BG1251" s="7" t="s">
        <v>1242</v>
      </c>
      <c r="BH1251" s="1" t="s">
        <v>2458</v>
      </c>
      <c r="BI1251" s="1" t="s">
        <v>9760</v>
      </c>
      <c r="BJ1251" s="1" t="s">
        <v>2036</v>
      </c>
      <c r="BK1251" s="1" t="s">
        <v>6223</v>
      </c>
      <c r="BL1251" s="1" t="s">
        <v>1959</v>
      </c>
      <c r="BM1251" s="1" t="s">
        <v>6224</v>
      </c>
      <c r="BN1251" s="1" t="s">
        <v>1875</v>
      </c>
      <c r="BO1251" s="2" t="s">
        <v>6225</v>
      </c>
      <c r="BP1251" s="1" t="s">
        <v>1877</v>
      </c>
      <c r="BQ1251" s="2" t="s">
        <v>6226</v>
      </c>
    </row>
    <row r="1252" spans="1:69" ht="198" x14ac:dyDescent="0.45">
      <c r="A1252" s="5">
        <v>1251</v>
      </c>
      <c r="B1252" s="6" t="s">
        <v>989</v>
      </c>
      <c r="C1252" s="6" t="s">
        <v>6851</v>
      </c>
      <c r="D1252" s="7" t="s">
        <v>9794</v>
      </c>
      <c r="E1252" s="1" t="s">
        <v>6227</v>
      </c>
      <c r="F1252" s="1" t="s">
        <v>6228</v>
      </c>
      <c r="G1252" s="1" t="s">
        <v>1522</v>
      </c>
      <c r="J1252" s="1" t="s">
        <v>9795</v>
      </c>
      <c r="K1252" s="1" t="s">
        <v>6229</v>
      </c>
      <c r="L1252" s="2" t="s">
        <v>9761</v>
      </c>
      <c r="M1252" s="1" t="s">
        <v>12270</v>
      </c>
      <c r="P1252" s="7" t="s">
        <v>1241</v>
      </c>
      <c r="Q1252" s="13"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1252" s="13" t="str">
        <f>INDEX($L:$L, MATCH("abuse", $B:$B, 0))</f>
        <v>&lt;span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v>
      </c>
      <c r="S1252" s="13" t="str">
        <f>INDEX($L:$L, MATCH("utilize", $B:$B, 0))</f>
        <v>&lt;span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v>
      </c>
      <c r="AU1252" s="15"/>
      <c r="AV1252" s="1" t="s">
        <v>38</v>
      </c>
      <c r="BG1252" s="7" t="s">
        <v>1242</v>
      </c>
      <c r="BH1252" s="1" t="s">
        <v>1947</v>
      </c>
      <c r="BI1252" s="2" t="s">
        <v>6230</v>
      </c>
      <c r="BJ1252" s="1" t="s">
        <v>1959</v>
      </c>
      <c r="BK1252" s="2" t="s">
        <v>6231</v>
      </c>
      <c r="BL1252" s="1" t="s">
        <v>1875</v>
      </c>
      <c r="BM1252" s="2" t="s">
        <v>6232</v>
      </c>
      <c r="BN1252" s="1" t="s">
        <v>3497</v>
      </c>
      <c r="BO1252" s="1" t="s">
        <v>6233</v>
      </c>
    </row>
    <row r="1253" spans="1:69" ht="216" x14ac:dyDescent="0.45">
      <c r="A1253" s="5">
        <v>1252</v>
      </c>
      <c r="B1253" s="6" t="s">
        <v>990</v>
      </c>
      <c r="C1253" s="6" t="s">
        <v>6851</v>
      </c>
      <c r="D1253" s="7" t="s">
        <v>9794</v>
      </c>
      <c r="E1253" s="1" t="s">
        <v>990</v>
      </c>
      <c r="F1253" s="1"/>
      <c r="G1253" s="1"/>
      <c r="J1253" s="1" t="s">
        <v>9795</v>
      </c>
      <c r="L1253" s="3" t="s">
        <v>9762</v>
      </c>
      <c r="P1253" s="7" t="s">
        <v>1241</v>
      </c>
      <c r="Q1253" s="13"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R1253" s="13" t="str">
        <f>INDEX($L:$L, MATCH("capital", $B:$B, 0))</f>
        <v>&lt;span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v>
      </c>
      <c r="AU1253" s="15"/>
      <c r="AV1253" s="1" t="s">
        <v>38</v>
      </c>
      <c r="BG1253" s="7" t="s">
        <v>1242</v>
      </c>
      <c r="BH1253" s="1" t="s">
        <v>1947</v>
      </c>
      <c r="BI1253" s="2" t="s">
        <v>6234</v>
      </c>
      <c r="BJ1253" s="1" t="s">
        <v>1967</v>
      </c>
      <c r="BK1253" s="1" t="s">
        <v>6235</v>
      </c>
      <c r="BL1253" s="1" t="s">
        <v>2114</v>
      </c>
      <c r="BM1253" s="1" t="s">
        <v>6236</v>
      </c>
      <c r="BN1253" s="1" t="s">
        <v>1875</v>
      </c>
      <c r="BO1253" s="2" t="s">
        <v>6237</v>
      </c>
      <c r="BP1253" s="1" t="s">
        <v>1877</v>
      </c>
      <c r="BQ1253" s="2" t="s">
        <v>6238</v>
      </c>
    </row>
    <row r="1254" spans="1:69" ht="108" x14ac:dyDescent="0.45">
      <c r="A1254" s="5">
        <v>1253</v>
      </c>
      <c r="B1254" s="6" t="s">
        <v>991</v>
      </c>
      <c r="C1254" s="6" t="s">
        <v>6851</v>
      </c>
      <c r="D1254" s="7" t="s">
        <v>9794</v>
      </c>
      <c r="E1254" s="1" t="s">
        <v>991</v>
      </c>
      <c r="F1254" s="1"/>
      <c r="G1254" s="1"/>
      <c r="J1254" s="1" t="s">
        <v>9795</v>
      </c>
      <c r="L1254" s="3" t="s">
        <v>9763</v>
      </c>
      <c r="P1254" s="7" t="s">
        <v>1241</v>
      </c>
      <c r="AV1254" s="1" t="s">
        <v>38</v>
      </c>
      <c r="BG1254" s="7" t="s">
        <v>1242</v>
      </c>
      <c r="BH1254" s="1" t="s">
        <v>1872</v>
      </c>
      <c r="BI1254" s="1" t="s">
        <v>6239</v>
      </c>
      <c r="BJ1254" s="1" t="s">
        <v>1875</v>
      </c>
      <c r="BK1254" s="2" t="s">
        <v>6240</v>
      </c>
    </row>
    <row r="1255" spans="1:69" ht="144" x14ac:dyDescent="0.45">
      <c r="A1255" s="5">
        <v>1254</v>
      </c>
      <c r="B1255" s="8" t="s">
        <v>992</v>
      </c>
      <c r="C1255" s="6" t="s">
        <v>6851</v>
      </c>
      <c r="D1255" s="7" t="s">
        <v>9794</v>
      </c>
      <c r="E1255" s="1" t="s">
        <v>6241</v>
      </c>
      <c r="F1255" s="1" t="s">
        <v>1853</v>
      </c>
      <c r="G1255" s="1"/>
      <c r="J1255" s="1" t="s">
        <v>9795</v>
      </c>
      <c r="K1255" s="2" t="s">
        <v>9764</v>
      </c>
      <c r="L1255" s="2" t="s">
        <v>9765</v>
      </c>
      <c r="M1255" s="1" t="s">
        <v>12186</v>
      </c>
      <c r="P1255" s="7" t="s">
        <v>1241</v>
      </c>
      <c r="Q1255" s="13" t="str">
        <f>INDEX($L:$L, MATCH("flow", $B:$B, 0))</f>
        <v>&lt;span class="w"&gt;&lt;b&gt;【334.flow：流れる, 生じる】&lt;/b&gt;&lt;/span&gt;
&lt;span class="ml"&gt;印欧祖語*pleu-（流れる, 流動する）に由来する。
&lt;span class="spacer"&gt;&lt;/span&gt;印欧祖語から意味の変化はほとんどない。&lt;/span&gt;</v>
      </c>
      <c r="R1255" s="13"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S1255" s="13"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T1255" s="13"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U1255" s="13"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AU1255" s="15"/>
      <c r="AV1255" s="1" t="s">
        <v>38</v>
      </c>
      <c r="BG1255" s="7" t="s">
        <v>1242</v>
      </c>
      <c r="BH1255" s="1" t="s">
        <v>1947</v>
      </c>
      <c r="BI1255" s="2" t="s">
        <v>6242</v>
      </c>
      <c r="BJ1255" s="1" t="s">
        <v>1959</v>
      </c>
      <c r="BK1255" s="2" t="s">
        <v>6243</v>
      </c>
      <c r="BL1255" s="1" t="s">
        <v>1875</v>
      </c>
      <c r="BM1255" s="2" t="s">
        <v>6244</v>
      </c>
      <c r="BN1255" s="1" t="s">
        <v>1877</v>
      </c>
      <c r="BO1255" s="2" t="s">
        <v>6245</v>
      </c>
    </row>
    <row r="1256" spans="1:69" ht="216" x14ac:dyDescent="0.45">
      <c r="A1256" s="5">
        <v>1255</v>
      </c>
      <c r="B1256" s="6" t="s">
        <v>993</v>
      </c>
      <c r="C1256" s="6" t="s">
        <v>6851</v>
      </c>
      <c r="D1256" s="7" t="s">
        <v>9794</v>
      </c>
      <c r="E1256" s="1" t="s">
        <v>993</v>
      </c>
      <c r="F1256" s="1"/>
      <c r="G1256" s="1"/>
      <c r="J1256" s="1" t="s">
        <v>9795</v>
      </c>
      <c r="L1256" s="2" t="s">
        <v>9767</v>
      </c>
      <c r="P1256" s="7" t="s">
        <v>1241</v>
      </c>
      <c r="AV1256" s="1" t="s">
        <v>38</v>
      </c>
      <c r="BG1256" s="7" t="s">
        <v>1242</v>
      </c>
      <c r="BH1256" s="1" t="s">
        <v>1947</v>
      </c>
      <c r="BI1256" s="1" t="s">
        <v>6246</v>
      </c>
      <c r="BJ1256" s="1" t="s">
        <v>1959</v>
      </c>
      <c r="BK1256" s="1" t="s">
        <v>6247</v>
      </c>
      <c r="BL1256" s="1" t="s">
        <v>1875</v>
      </c>
      <c r="BM1256" s="2" t="s">
        <v>6248</v>
      </c>
    </row>
    <row r="1257" spans="1:69" ht="108" x14ac:dyDescent="0.45">
      <c r="A1257" s="5">
        <v>1256</v>
      </c>
      <c r="B1257" s="6" t="s">
        <v>994</v>
      </c>
      <c r="C1257" s="6" t="s">
        <v>6851</v>
      </c>
      <c r="D1257" s="7" t="s">
        <v>9794</v>
      </c>
      <c r="E1257" s="1" t="s">
        <v>994</v>
      </c>
      <c r="F1257" s="1"/>
      <c r="G1257" s="1"/>
      <c r="J1257" s="1" t="s">
        <v>9795</v>
      </c>
      <c r="L1257" s="2" t="s">
        <v>9768</v>
      </c>
      <c r="P1257" s="7" t="s">
        <v>1241</v>
      </c>
      <c r="AU1257" s="15"/>
      <c r="AV1257" s="1" t="s">
        <v>38</v>
      </c>
      <c r="BG1257" s="7" t="s">
        <v>1242</v>
      </c>
      <c r="BH1257" s="1" t="s">
        <v>2458</v>
      </c>
      <c r="BI1257" s="2" t="s">
        <v>6249</v>
      </c>
      <c r="BJ1257" s="1" t="s">
        <v>2036</v>
      </c>
      <c r="BK1257" s="1" t="s">
        <v>6250</v>
      </c>
      <c r="BL1257" s="1" t="s">
        <v>2026</v>
      </c>
      <c r="BM1257" s="1" t="s">
        <v>6251</v>
      </c>
      <c r="BN1257" s="1" t="s">
        <v>1872</v>
      </c>
      <c r="BO1257" s="1" t="s">
        <v>6252</v>
      </c>
      <c r="BP1257" s="1" t="s">
        <v>1875</v>
      </c>
      <c r="BQ1257" s="1" t="s">
        <v>6253</v>
      </c>
    </row>
    <row r="1258" spans="1:69" ht="216" x14ac:dyDescent="0.45">
      <c r="A1258" s="5">
        <v>1257</v>
      </c>
      <c r="B1258" s="8" t="s">
        <v>995</v>
      </c>
      <c r="C1258" s="6" t="s">
        <v>6851</v>
      </c>
      <c r="D1258" s="7" t="s">
        <v>9794</v>
      </c>
      <c r="E1258" s="1" t="s">
        <v>1346</v>
      </c>
      <c r="F1258" s="1" t="s">
        <v>6254</v>
      </c>
      <c r="G1258" s="1" t="s">
        <v>1809</v>
      </c>
      <c r="J1258" s="1" t="s">
        <v>9795</v>
      </c>
      <c r="L1258" s="2" t="s">
        <v>9769</v>
      </c>
      <c r="P1258" s="7" t="s">
        <v>1241</v>
      </c>
      <c r="Q1258" s="13"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258" s="13"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1258" s="13"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1258"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1258"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1258" s="13"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W1258"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X1258"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Y1258"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Z1258"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AV1258" s="1" t="s">
        <v>38</v>
      </c>
      <c r="BG1258" s="7" t="s">
        <v>1242</v>
      </c>
      <c r="BH1258" s="1" t="s">
        <v>1976</v>
      </c>
      <c r="BI1258" s="1" t="s">
        <v>3355</v>
      </c>
      <c r="BJ1258" s="1" t="s">
        <v>1947</v>
      </c>
      <c r="BK1258" s="2" t="s">
        <v>6255</v>
      </c>
      <c r="BL1258" s="1" t="s">
        <v>2026</v>
      </c>
      <c r="BM1258" s="1" t="s">
        <v>6256</v>
      </c>
      <c r="BN1258" s="1" t="s">
        <v>1959</v>
      </c>
      <c r="BO1258" s="2" t="s">
        <v>6257</v>
      </c>
      <c r="BP1258" s="1" t="s">
        <v>1875</v>
      </c>
      <c r="BQ1258" s="2" t="s">
        <v>6258</v>
      </c>
    </row>
    <row r="1259" spans="1:69" ht="180" x14ac:dyDescent="0.45">
      <c r="A1259" s="5">
        <v>1258</v>
      </c>
      <c r="B1259" s="6" t="s">
        <v>996</v>
      </c>
      <c r="C1259" s="6" t="s">
        <v>6851</v>
      </c>
      <c r="D1259" s="7" t="s">
        <v>9794</v>
      </c>
      <c r="E1259" s="1" t="s">
        <v>6259</v>
      </c>
      <c r="F1259" s="1" t="s">
        <v>6260</v>
      </c>
      <c r="G1259" s="1"/>
      <c r="J1259" s="1" t="s">
        <v>9795</v>
      </c>
      <c r="L1259" s="2" t="s">
        <v>9770</v>
      </c>
      <c r="P1259" s="7" t="s">
        <v>1241</v>
      </c>
      <c r="AU1259" s="15"/>
      <c r="AV1259" s="1" t="s">
        <v>38</v>
      </c>
      <c r="BG1259" s="7" t="s">
        <v>1242</v>
      </c>
      <c r="BH1259" s="1" t="s">
        <v>1872</v>
      </c>
      <c r="BI1259" s="2" t="s">
        <v>6261</v>
      </c>
    </row>
    <row r="1260" spans="1:69" ht="72" x14ac:dyDescent="0.45">
      <c r="A1260" s="5">
        <v>1259</v>
      </c>
      <c r="B1260" s="6" t="s">
        <v>997</v>
      </c>
      <c r="C1260" s="6" t="s">
        <v>6851</v>
      </c>
      <c r="D1260" s="7" t="s">
        <v>9794</v>
      </c>
      <c r="E1260" s="1" t="s">
        <v>9771</v>
      </c>
      <c r="F1260" s="1" t="s">
        <v>1758</v>
      </c>
      <c r="G1260" s="1"/>
      <c r="J1260" s="1" t="s">
        <v>9795</v>
      </c>
      <c r="L1260" s="2" t="s">
        <v>9772</v>
      </c>
      <c r="P1260" s="7" t="s">
        <v>1241</v>
      </c>
      <c r="AV1260" s="1" t="s">
        <v>38</v>
      </c>
      <c r="BG1260" s="7" t="s">
        <v>1242</v>
      </c>
      <c r="BH1260" s="1" t="s">
        <v>1947</v>
      </c>
      <c r="BI1260" s="1" t="s">
        <v>6262</v>
      </c>
      <c r="BJ1260" s="1" t="s">
        <v>2026</v>
      </c>
      <c r="BK1260" s="1" t="s">
        <v>6263</v>
      </c>
      <c r="BL1260" s="1" t="s">
        <v>1959</v>
      </c>
      <c r="BM1260" s="2" t="s">
        <v>6264</v>
      </c>
      <c r="BN1260" s="1" t="s">
        <v>1875</v>
      </c>
      <c r="BO1260" s="2" t="s">
        <v>6265</v>
      </c>
    </row>
    <row r="1261" spans="1:69" ht="126" x14ac:dyDescent="0.45">
      <c r="A1261" s="5">
        <v>1260</v>
      </c>
      <c r="B1261" s="6" t="s">
        <v>998</v>
      </c>
      <c r="C1261" s="6" t="s">
        <v>6851</v>
      </c>
      <c r="D1261" s="7" t="s">
        <v>9794</v>
      </c>
      <c r="E1261" s="1" t="s">
        <v>1327</v>
      </c>
      <c r="F1261" s="1" t="s">
        <v>6266</v>
      </c>
      <c r="G1261" s="1" t="s">
        <v>6267</v>
      </c>
      <c r="J1261" s="1" t="s">
        <v>9795</v>
      </c>
      <c r="K1261" s="1" t="s">
        <v>6268</v>
      </c>
      <c r="L1261" s="2" t="s">
        <v>9773</v>
      </c>
      <c r="P1261" s="7" t="s">
        <v>1241</v>
      </c>
      <c r="AU1261" s="15"/>
      <c r="AV1261" s="1" t="s">
        <v>38</v>
      </c>
      <c r="BG1261" s="7" t="s">
        <v>1242</v>
      </c>
      <c r="BH1261" s="1" t="s">
        <v>1877</v>
      </c>
      <c r="BI1261" s="2" t="s">
        <v>6269</v>
      </c>
    </row>
    <row r="1262" spans="1:69" ht="108" x14ac:dyDescent="0.45">
      <c r="A1262" s="5">
        <v>1261</v>
      </c>
      <c r="B1262" s="6" t="s">
        <v>999</v>
      </c>
      <c r="C1262" s="6" t="s">
        <v>6851</v>
      </c>
      <c r="D1262" s="7" t="s">
        <v>9794</v>
      </c>
      <c r="E1262" s="1" t="s">
        <v>999</v>
      </c>
      <c r="F1262" s="1"/>
      <c r="G1262" s="1"/>
      <c r="J1262" s="1" t="s">
        <v>9795</v>
      </c>
      <c r="L1262" s="2" t="s">
        <v>9774</v>
      </c>
      <c r="P1262" s="7" t="s">
        <v>1241</v>
      </c>
      <c r="AV1262" s="1" t="s">
        <v>38</v>
      </c>
      <c r="BG1262" s="7" t="s">
        <v>1242</v>
      </c>
      <c r="BH1262" s="1" t="s">
        <v>1947</v>
      </c>
      <c r="BI1262" s="1" t="s">
        <v>6270</v>
      </c>
      <c r="BJ1262" s="1" t="s">
        <v>2036</v>
      </c>
      <c r="BK1262" s="1" t="s">
        <v>6271</v>
      </c>
      <c r="BL1262" s="1" t="s">
        <v>1967</v>
      </c>
      <c r="BM1262" s="1" t="s">
        <v>6272</v>
      </c>
      <c r="BN1262" s="1" t="s">
        <v>1959</v>
      </c>
      <c r="BO1262" s="1" t="s">
        <v>6273</v>
      </c>
      <c r="BP1262" s="1" t="s">
        <v>1875</v>
      </c>
      <c r="BQ1262" s="2" t="s">
        <v>6274</v>
      </c>
    </row>
    <row r="1263" spans="1:69" ht="162" x14ac:dyDescent="0.45">
      <c r="A1263" s="5">
        <v>1262</v>
      </c>
      <c r="B1263" s="8" t="s">
        <v>1000</v>
      </c>
      <c r="C1263" s="6" t="s">
        <v>6851</v>
      </c>
      <c r="D1263" s="7" t="s">
        <v>9794</v>
      </c>
      <c r="E1263" s="1" t="s">
        <v>1467</v>
      </c>
      <c r="F1263" s="1" t="s">
        <v>6275</v>
      </c>
      <c r="G1263" s="1" t="s">
        <v>1474</v>
      </c>
      <c r="J1263" s="1" t="s">
        <v>9795</v>
      </c>
      <c r="L1263" s="2" t="s">
        <v>9775</v>
      </c>
      <c r="M1263" s="1" t="s">
        <v>12219</v>
      </c>
      <c r="P1263" s="7" t="s">
        <v>1241</v>
      </c>
      <c r="Q1263" s="13"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R1263" s="13"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S1263" s="13"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T1263" s="13"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U1263" s="13"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AU1263" s="15"/>
      <c r="AV1263" s="1" t="s">
        <v>38</v>
      </c>
      <c r="BG1263" s="7" t="s">
        <v>1242</v>
      </c>
      <c r="BH1263" s="1" t="s">
        <v>1947</v>
      </c>
      <c r="BI1263" s="2" t="s">
        <v>9776</v>
      </c>
      <c r="BJ1263" s="1" t="s">
        <v>1959</v>
      </c>
      <c r="BK1263" s="2" t="s">
        <v>6276</v>
      </c>
      <c r="BL1263" s="1" t="s">
        <v>1875</v>
      </c>
      <c r="BM1263" s="2" t="s">
        <v>6277</v>
      </c>
    </row>
    <row r="1264" spans="1:69" ht="144" x14ac:dyDescent="0.45">
      <c r="A1264" s="5">
        <v>1263</v>
      </c>
      <c r="B1264" s="8" t="s">
        <v>1001</v>
      </c>
      <c r="C1264" s="6" t="s">
        <v>6851</v>
      </c>
      <c r="D1264" s="7" t="s">
        <v>9794</v>
      </c>
      <c r="E1264" s="1" t="s">
        <v>1001</v>
      </c>
      <c r="F1264" s="1"/>
      <c r="G1264" s="1"/>
      <c r="J1264" s="1" t="s">
        <v>9795</v>
      </c>
      <c r="K1264" s="2"/>
      <c r="L1264" s="2" t="s">
        <v>9777</v>
      </c>
      <c r="M1264" s="1" t="s">
        <v>12261</v>
      </c>
      <c r="P1264" s="7" t="s">
        <v>1241</v>
      </c>
      <c r="Q1264" s="13"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1264" s="13"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1264" s="13"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1264" s="13"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1264" s="13"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V1264" s="13"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AU1264" s="15"/>
      <c r="AV1264" s="1" t="s">
        <v>38</v>
      </c>
      <c r="BG1264" s="7" t="s">
        <v>1242</v>
      </c>
      <c r="BH1264" s="1" t="s">
        <v>1947</v>
      </c>
      <c r="BI1264" s="2" t="s">
        <v>6278</v>
      </c>
      <c r="BJ1264" s="1" t="s">
        <v>3408</v>
      </c>
      <c r="BK1264" s="2" t="s">
        <v>6279</v>
      </c>
      <c r="BL1264" s="1" t="s">
        <v>1996</v>
      </c>
      <c r="BM1264" s="2" t="s">
        <v>6280</v>
      </c>
      <c r="BN1264" s="1" t="s">
        <v>1877</v>
      </c>
      <c r="BO1264" s="2" t="s">
        <v>6281</v>
      </c>
      <c r="BP1264" s="1" t="s">
        <v>3497</v>
      </c>
      <c r="BQ1264" s="2" t="s">
        <v>6282</v>
      </c>
    </row>
    <row r="1265" spans="1:73" ht="180" x14ac:dyDescent="0.45">
      <c r="A1265" s="5">
        <v>1264</v>
      </c>
      <c r="B1265" s="8" t="s">
        <v>1002</v>
      </c>
      <c r="C1265" s="6" t="s">
        <v>6851</v>
      </c>
      <c r="D1265" s="7" t="s">
        <v>9794</v>
      </c>
      <c r="E1265" s="1" t="s">
        <v>1251</v>
      </c>
      <c r="F1265" s="1" t="s">
        <v>6283</v>
      </c>
      <c r="G1265" s="1" t="s">
        <v>1698</v>
      </c>
      <c r="J1265" s="1" t="s">
        <v>9795</v>
      </c>
      <c r="K1265" s="2"/>
      <c r="L1265" s="2" t="s">
        <v>9778</v>
      </c>
      <c r="M1265" s="1" t="s">
        <v>12235</v>
      </c>
      <c r="P1265" s="7" t="s">
        <v>1241</v>
      </c>
      <c r="Q1265" s="13"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1265" s="13"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S1265" s="13"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T1265" s="13"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AU1265" s="15"/>
      <c r="AV1265" s="1" t="s">
        <v>38</v>
      </c>
      <c r="BG1265" s="7" t="s">
        <v>1242</v>
      </c>
      <c r="BH1265" s="1" t="s">
        <v>1947</v>
      </c>
      <c r="BI1265" s="2" t="s">
        <v>6284</v>
      </c>
      <c r="BJ1265" s="1" t="s">
        <v>1996</v>
      </c>
      <c r="BK1265" s="2" t="s">
        <v>6285</v>
      </c>
      <c r="BL1265" s="1" t="s">
        <v>1877</v>
      </c>
      <c r="BM1265" s="2" t="s">
        <v>6286</v>
      </c>
    </row>
    <row r="1266" spans="1:73" ht="108" x14ac:dyDescent="0.45">
      <c r="A1266" s="5">
        <v>1265</v>
      </c>
      <c r="B1266" s="6" t="s">
        <v>1003</v>
      </c>
      <c r="C1266" s="6" t="s">
        <v>6851</v>
      </c>
      <c r="D1266" s="7" t="s">
        <v>9794</v>
      </c>
      <c r="E1266" s="1" t="s">
        <v>1003</v>
      </c>
      <c r="F1266" s="1"/>
      <c r="G1266" s="1"/>
      <c r="J1266" s="1" t="s">
        <v>9795</v>
      </c>
      <c r="K1266" s="1" t="s">
        <v>6287</v>
      </c>
      <c r="L1266" s="2" t="s">
        <v>9779</v>
      </c>
      <c r="P1266" s="7" t="s">
        <v>1241</v>
      </c>
      <c r="AU1266" s="15"/>
      <c r="AV1266" s="1" t="s">
        <v>38</v>
      </c>
      <c r="BG1266" s="7" t="s">
        <v>1242</v>
      </c>
      <c r="BH1266" s="1" t="s">
        <v>1877</v>
      </c>
      <c r="BI1266" s="2" t="s">
        <v>6288</v>
      </c>
    </row>
    <row r="1267" spans="1:73" ht="126" x14ac:dyDescent="0.45">
      <c r="A1267" s="5">
        <v>1266</v>
      </c>
      <c r="B1267" s="8" t="s">
        <v>1004</v>
      </c>
      <c r="C1267" s="6" t="s">
        <v>6851</v>
      </c>
      <c r="D1267" s="7" t="s">
        <v>9794</v>
      </c>
      <c r="E1267" s="1" t="s">
        <v>27</v>
      </c>
      <c r="F1267" s="1" t="s">
        <v>6289</v>
      </c>
      <c r="G1267" s="1" t="s">
        <v>1522</v>
      </c>
      <c r="J1267" s="1" t="s">
        <v>9795</v>
      </c>
      <c r="L1267" s="2" t="s">
        <v>9780</v>
      </c>
      <c r="M1267" s="1" t="s">
        <v>12247</v>
      </c>
      <c r="P1267" s="7" t="s">
        <v>1241</v>
      </c>
      <c r="Q1267" s="13"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R1267" s="13"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U1267" s="15"/>
      <c r="AV1267" s="1" t="s">
        <v>38</v>
      </c>
      <c r="BG1267" s="7" t="s">
        <v>1242</v>
      </c>
      <c r="BH1267" s="1" t="s">
        <v>1947</v>
      </c>
      <c r="BI1267" s="2" t="s">
        <v>6290</v>
      </c>
      <c r="BJ1267" s="1" t="s">
        <v>1959</v>
      </c>
      <c r="BK1267" s="1" t="s">
        <v>6291</v>
      </c>
      <c r="BL1267" s="1" t="s">
        <v>1875</v>
      </c>
      <c r="BM1267" s="2" t="s">
        <v>9781</v>
      </c>
      <c r="BN1267" s="1" t="s">
        <v>1877</v>
      </c>
      <c r="BO1267" s="2" t="s">
        <v>6292</v>
      </c>
    </row>
    <row r="1268" spans="1:73" ht="270" x14ac:dyDescent="0.45">
      <c r="A1268" s="5">
        <v>1267</v>
      </c>
      <c r="B1268" s="8" t="s">
        <v>1005</v>
      </c>
      <c r="C1268" s="6" t="s">
        <v>6851</v>
      </c>
      <c r="D1268" s="7" t="s">
        <v>9794</v>
      </c>
      <c r="E1268" s="1" t="s">
        <v>1251</v>
      </c>
      <c r="F1268" s="1" t="s">
        <v>6293</v>
      </c>
      <c r="G1268" s="1"/>
      <c r="J1268" s="1" t="s">
        <v>9795</v>
      </c>
      <c r="L1268" s="2" t="s">
        <v>9782</v>
      </c>
      <c r="P1268" s="7" t="s">
        <v>1241</v>
      </c>
      <c r="Q1268" s="13"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R1268" s="13" t="str">
        <f>INDEX($L:$L, MATCH("public", $B:$B, 0))</f>
        <v>&lt;span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v>
      </c>
      <c r="AU1268" s="15"/>
      <c r="AV1268" s="1" t="s">
        <v>38</v>
      </c>
      <c r="BG1268" s="7" t="s">
        <v>1242</v>
      </c>
      <c r="BH1268" s="1" t="s">
        <v>1947</v>
      </c>
      <c r="BI1268" s="2" t="s">
        <v>6294</v>
      </c>
      <c r="BJ1268" s="1" t="s">
        <v>1996</v>
      </c>
      <c r="BK1268" s="2" t="s">
        <v>6295</v>
      </c>
      <c r="BL1268" s="1" t="s">
        <v>1877</v>
      </c>
      <c r="BM1268" s="2" t="s">
        <v>6296</v>
      </c>
    </row>
    <row r="1269" spans="1:73" ht="198" x14ac:dyDescent="0.45">
      <c r="A1269" s="5">
        <v>1268</v>
      </c>
      <c r="B1269" s="6" t="s">
        <v>1006</v>
      </c>
      <c r="C1269" s="6" t="s">
        <v>6851</v>
      </c>
      <c r="D1269" s="7" t="s">
        <v>9794</v>
      </c>
      <c r="E1269" s="1" t="s">
        <v>1467</v>
      </c>
      <c r="F1269" s="1" t="s">
        <v>6297</v>
      </c>
      <c r="G1269" s="1"/>
      <c r="J1269" s="1" t="s">
        <v>9795</v>
      </c>
      <c r="L1269" s="2" t="s">
        <v>9783</v>
      </c>
      <c r="P1269" s="7" t="s">
        <v>1241</v>
      </c>
      <c r="Q1269" s="13" t="str">
        <f>INDEX($L:$L, MATCH("debate", $B:$B, 0))</f>
        <v>&lt;span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v>
      </c>
      <c r="AV1269" s="1" t="s">
        <v>38</v>
      </c>
      <c r="BG1269" s="7" t="s">
        <v>1242</v>
      </c>
      <c r="BH1269" s="1" t="s">
        <v>1947</v>
      </c>
      <c r="BI1269" s="1" t="s">
        <v>6298</v>
      </c>
      <c r="BJ1269" s="1" t="s">
        <v>2036</v>
      </c>
      <c r="BK1269" s="2" t="s">
        <v>6299</v>
      </c>
      <c r="BL1269" s="1" t="s">
        <v>1959</v>
      </c>
      <c r="BM1269" s="2" t="s">
        <v>6300</v>
      </c>
      <c r="BN1269" s="1" t="s">
        <v>1877</v>
      </c>
      <c r="BO1269" s="2" t="s">
        <v>6301</v>
      </c>
    </row>
    <row r="1270" spans="1:73" ht="144" x14ac:dyDescent="0.45">
      <c r="A1270" s="5">
        <v>1269</v>
      </c>
      <c r="B1270" s="6" t="s">
        <v>1007</v>
      </c>
      <c r="C1270" s="6" t="s">
        <v>6851</v>
      </c>
      <c r="D1270" s="7" t="s">
        <v>9794</v>
      </c>
      <c r="E1270" s="1" t="s">
        <v>1327</v>
      </c>
      <c r="F1270" s="1" t="s">
        <v>6302</v>
      </c>
      <c r="G1270" s="1"/>
      <c r="J1270" s="1" t="s">
        <v>9795</v>
      </c>
      <c r="L1270" s="2" t="s">
        <v>9784</v>
      </c>
      <c r="P1270" s="7" t="s">
        <v>1241</v>
      </c>
      <c r="AV1270" s="1" t="s">
        <v>38</v>
      </c>
      <c r="BG1270" s="7" t="s">
        <v>1242</v>
      </c>
      <c r="BH1270" s="1" t="s">
        <v>2036</v>
      </c>
      <c r="BI1270" s="1" t="s">
        <v>6303</v>
      </c>
      <c r="BJ1270" s="1" t="s">
        <v>1959</v>
      </c>
      <c r="BK1270" s="2" t="s">
        <v>6304</v>
      </c>
      <c r="BL1270" s="1" t="s">
        <v>1996</v>
      </c>
      <c r="BM1270" s="2" t="s">
        <v>6305</v>
      </c>
      <c r="BN1270" s="1" t="s">
        <v>1877</v>
      </c>
      <c r="BO1270" s="2" t="s">
        <v>6306</v>
      </c>
    </row>
    <row r="1271" spans="1:73" ht="216" x14ac:dyDescent="0.45">
      <c r="A1271" s="5">
        <v>1270</v>
      </c>
      <c r="B1271" s="6" t="s">
        <v>1008</v>
      </c>
      <c r="C1271" s="6" t="s">
        <v>6851</v>
      </c>
      <c r="D1271" s="7" t="s">
        <v>9794</v>
      </c>
      <c r="E1271" s="1" t="s">
        <v>1008</v>
      </c>
      <c r="F1271" s="1"/>
      <c r="G1271" s="1"/>
      <c r="J1271" s="1" t="s">
        <v>9795</v>
      </c>
      <c r="L1271" s="2" t="s">
        <v>9785</v>
      </c>
      <c r="P1271" s="7" t="s">
        <v>1241</v>
      </c>
      <c r="AU1271" s="15"/>
      <c r="AV1271" s="1" t="s">
        <v>38</v>
      </c>
      <c r="BG1271" s="7" t="s">
        <v>1242</v>
      </c>
      <c r="BH1271" s="1" t="s">
        <v>1877</v>
      </c>
      <c r="BI1271" s="2" t="s">
        <v>9786</v>
      </c>
      <c r="BJ1271" s="1" t="s">
        <v>3497</v>
      </c>
      <c r="BK1271" s="2" t="s">
        <v>6307</v>
      </c>
    </row>
    <row r="1272" spans="1:73" ht="252" x14ac:dyDescent="0.45">
      <c r="A1272" s="5">
        <v>1271</v>
      </c>
      <c r="B1272" s="6" t="s">
        <v>1009</v>
      </c>
      <c r="C1272" s="6" t="s">
        <v>6851</v>
      </c>
      <c r="D1272" s="7" t="s">
        <v>9794</v>
      </c>
      <c r="E1272" s="1" t="s">
        <v>6308</v>
      </c>
      <c r="F1272" s="1" t="s">
        <v>1584</v>
      </c>
      <c r="G1272" s="1"/>
      <c r="J1272" s="1" t="s">
        <v>9795</v>
      </c>
      <c r="L1272" s="2" t="s">
        <v>10003</v>
      </c>
      <c r="M1272" s="1" t="s">
        <v>12275</v>
      </c>
      <c r="P1272" s="7" t="s">
        <v>1241</v>
      </c>
      <c r="Q1272" s="13"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R1272" s="13"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S1272" s="13"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T1272" s="13"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AV1272" s="1" t="s">
        <v>38</v>
      </c>
      <c r="BG1272" s="7" t="s">
        <v>1242</v>
      </c>
      <c r="BH1272" s="1" t="s">
        <v>1947</v>
      </c>
      <c r="BI1272" s="1" t="s">
        <v>6309</v>
      </c>
      <c r="BJ1272" s="1" t="s">
        <v>2036</v>
      </c>
      <c r="BK1272" s="2" t="s">
        <v>6310</v>
      </c>
      <c r="BL1272" s="1" t="s">
        <v>1967</v>
      </c>
      <c r="BM1272" s="1" t="s">
        <v>6311</v>
      </c>
      <c r="BN1272" s="1" t="s">
        <v>1959</v>
      </c>
      <c r="BO1272" s="2" t="s">
        <v>6312</v>
      </c>
      <c r="BP1272" s="1" t="s">
        <v>2114</v>
      </c>
      <c r="BQ1272" s="1" t="s">
        <v>6313</v>
      </c>
      <c r="BR1272" s="1" t="s">
        <v>1875</v>
      </c>
      <c r="BS1272" s="2" t="s">
        <v>6314</v>
      </c>
      <c r="BT1272" s="1" t="s">
        <v>1877</v>
      </c>
      <c r="BU1272" s="2" t="s">
        <v>6315</v>
      </c>
    </row>
    <row r="1273" spans="1:73" ht="216" x14ac:dyDescent="0.45">
      <c r="A1273" s="5">
        <v>1272</v>
      </c>
      <c r="B1273" s="8" t="s">
        <v>1010</v>
      </c>
      <c r="C1273" s="6" t="s">
        <v>6851</v>
      </c>
      <c r="D1273" s="7" t="s">
        <v>9794</v>
      </c>
      <c r="E1273" s="1" t="s">
        <v>27</v>
      </c>
      <c r="F1273" s="1" t="s">
        <v>6316</v>
      </c>
      <c r="G1273" s="1"/>
      <c r="J1273" s="1" t="s">
        <v>9795</v>
      </c>
      <c r="L1273" s="2" t="s">
        <v>9787</v>
      </c>
      <c r="M1273" s="1" t="s">
        <v>12229</v>
      </c>
      <c r="P1273" s="7" t="s">
        <v>1241</v>
      </c>
      <c r="Q1273" s="13"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1273" s="13"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S1273" s="13"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T1273"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1273"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V1273"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AU1273" s="15"/>
      <c r="AV1273" s="1" t="s">
        <v>38</v>
      </c>
      <c r="BG1273" s="7" t="s">
        <v>1242</v>
      </c>
      <c r="BH1273" s="1" t="s">
        <v>1947</v>
      </c>
      <c r="BI1273" s="2" t="s">
        <v>9788</v>
      </c>
      <c r="BJ1273" s="1" t="s">
        <v>1875</v>
      </c>
      <c r="BK1273" s="2" t="s">
        <v>6317</v>
      </c>
      <c r="BL1273" s="1" t="s">
        <v>1877</v>
      </c>
      <c r="BM1273" s="2" t="s">
        <v>6318</v>
      </c>
    </row>
    <row r="1274" spans="1:73" ht="198" x14ac:dyDescent="0.45">
      <c r="A1274" s="5">
        <v>1273</v>
      </c>
      <c r="B1274" s="6" t="s">
        <v>6319</v>
      </c>
      <c r="C1274" s="6" t="s">
        <v>6851</v>
      </c>
      <c r="D1274" s="7" t="s">
        <v>9794</v>
      </c>
      <c r="E1274" s="1" t="s">
        <v>27</v>
      </c>
      <c r="F1274" s="1" t="s">
        <v>6320</v>
      </c>
      <c r="G1274" s="1" t="s">
        <v>1584</v>
      </c>
      <c r="J1274" s="1" t="s">
        <v>9795</v>
      </c>
      <c r="L1274" s="2" t="s">
        <v>9789</v>
      </c>
      <c r="P1274" s="7" t="s">
        <v>1241</v>
      </c>
      <c r="Q1274" s="13" t="str">
        <f>INDEX($L:$L, MATCH("tuition", $B:$B, 0))</f>
        <v>&lt;span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v>
      </c>
      <c r="AU1274" s="15"/>
      <c r="AV1274" s="1" t="s">
        <v>38</v>
      </c>
      <c r="BG1274" s="7" t="s">
        <v>1242</v>
      </c>
      <c r="BH1274" s="1" t="s">
        <v>1947</v>
      </c>
      <c r="BI1274" s="2" t="s">
        <v>6321</v>
      </c>
      <c r="BJ1274" s="1" t="s">
        <v>1875</v>
      </c>
      <c r="BK1274" s="2" t="s">
        <v>6322</v>
      </c>
    </row>
    <row r="1275" spans="1:73" ht="108" x14ac:dyDescent="0.45">
      <c r="A1275" s="5">
        <v>1274</v>
      </c>
      <c r="B1275" s="8" t="s">
        <v>1011</v>
      </c>
      <c r="C1275" s="6" t="s">
        <v>6851</v>
      </c>
      <c r="D1275" s="7" t="s">
        <v>9794</v>
      </c>
      <c r="E1275" s="1" t="s">
        <v>4347</v>
      </c>
      <c r="F1275" s="1" t="s">
        <v>1528</v>
      </c>
      <c r="G1275" s="1"/>
      <c r="J1275" s="1" t="s">
        <v>9795</v>
      </c>
      <c r="L1275" s="2" t="s">
        <v>9790</v>
      </c>
      <c r="M1275" s="1" t="s">
        <v>12220</v>
      </c>
      <c r="P1275" s="7" t="s">
        <v>1241</v>
      </c>
      <c r="Q1275" s="13"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1275" s="13"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1275" s="13"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1275" s="13"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1275" s="13"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V1275" s="13"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W1275" s="13"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AU1275" s="15"/>
      <c r="AV1275" s="1" t="s">
        <v>38</v>
      </c>
      <c r="BG1275" s="7" t="s">
        <v>1242</v>
      </c>
      <c r="BH1275" s="1" t="s">
        <v>1947</v>
      </c>
      <c r="BI1275" s="2" t="s">
        <v>6323</v>
      </c>
      <c r="BJ1275" s="1" t="s">
        <v>1967</v>
      </c>
      <c r="BK1275" s="2" t="s">
        <v>9791</v>
      </c>
      <c r="BL1275" s="1" t="s">
        <v>1959</v>
      </c>
      <c r="BM1275" s="1" t="s">
        <v>6324</v>
      </c>
      <c r="BN1275" s="1" t="s">
        <v>1875</v>
      </c>
      <c r="BO1275" s="2" t="s">
        <v>6325</v>
      </c>
    </row>
    <row r="1276" spans="1:73" ht="108" x14ac:dyDescent="0.45">
      <c r="A1276" s="5">
        <v>1275</v>
      </c>
      <c r="B1276" s="8" t="s">
        <v>1012</v>
      </c>
      <c r="C1276" s="6" t="s">
        <v>6851</v>
      </c>
      <c r="D1276" s="7" t="s">
        <v>9794</v>
      </c>
      <c r="E1276" s="1" t="s">
        <v>46</v>
      </c>
      <c r="F1276" s="1" t="s">
        <v>1575</v>
      </c>
      <c r="G1276" s="1"/>
      <c r="J1276" s="1" t="s">
        <v>9795</v>
      </c>
      <c r="K1276" s="2" t="s">
        <v>9792</v>
      </c>
      <c r="L1276" s="2" t="s">
        <v>10697</v>
      </c>
      <c r="M1276" s="1" t="s">
        <v>12260</v>
      </c>
      <c r="P1276" s="7" t="s">
        <v>1241</v>
      </c>
      <c r="Q1276"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1276" s="13"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S1276" s="13"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T1276" s="13"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U1276"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V1276"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1276" s="15"/>
      <c r="AV1276" s="1" t="s">
        <v>38</v>
      </c>
      <c r="BG1276" s="7" t="s">
        <v>1242</v>
      </c>
      <c r="BH1276" s="1" t="s">
        <v>1947</v>
      </c>
      <c r="BI1276" s="2" t="s">
        <v>6326</v>
      </c>
      <c r="BJ1276" s="1" t="s">
        <v>1959</v>
      </c>
      <c r="BK1276" s="2" t="s">
        <v>6327</v>
      </c>
      <c r="BL1276" s="1" t="s">
        <v>1875</v>
      </c>
      <c r="BM1276" s="2" t="s">
        <v>6328</v>
      </c>
    </row>
    <row r="1277" spans="1:73" ht="162" x14ac:dyDescent="0.45">
      <c r="A1277" s="5">
        <v>1276</v>
      </c>
      <c r="B1277" s="6" t="s">
        <v>1013</v>
      </c>
      <c r="C1277" s="6" t="s">
        <v>6851</v>
      </c>
      <c r="D1277" s="7" t="s">
        <v>9794</v>
      </c>
      <c r="E1277" s="1" t="s">
        <v>6329</v>
      </c>
      <c r="F1277" s="1" t="s">
        <v>6330</v>
      </c>
      <c r="G1277" s="1"/>
      <c r="J1277" s="1" t="s">
        <v>9795</v>
      </c>
      <c r="K1277" s="1" t="s">
        <v>9793</v>
      </c>
      <c r="L1277" s="3" t="s">
        <v>9796</v>
      </c>
      <c r="P1277" s="7" t="s">
        <v>1241</v>
      </c>
      <c r="AU1277" s="15"/>
      <c r="AV1277" s="1" t="s">
        <v>38</v>
      </c>
      <c r="BG1277" s="7" t="s">
        <v>1242</v>
      </c>
      <c r="BH1277" s="1" t="s">
        <v>2458</v>
      </c>
      <c r="BI1277" s="2" t="s">
        <v>9797</v>
      </c>
      <c r="BJ1277" s="1" t="s">
        <v>1967</v>
      </c>
      <c r="BK1277" s="1" t="s">
        <v>6331</v>
      </c>
      <c r="BL1277" s="1" t="s">
        <v>1959</v>
      </c>
      <c r="BM1277" s="2" t="s">
        <v>6332</v>
      </c>
      <c r="BN1277" s="1" t="s">
        <v>1875</v>
      </c>
      <c r="BO1277" s="2" t="s">
        <v>6333</v>
      </c>
      <c r="BP1277" s="1" t="s">
        <v>1877</v>
      </c>
      <c r="BQ1277" s="2" t="s">
        <v>6334</v>
      </c>
    </row>
    <row r="1278" spans="1:73" ht="180" x14ac:dyDescent="0.45">
      <c r="A1278" s="5">
        <v>1277</v>
      </c>
      <c r="B1278" s="6" t="s">
        <v>1014</v>
      </c>
      <c r="C1278" s="6" t="s">
        <v>6851</v>
      </c>
      <c r="D1278" s="7" t="s">
        <v>9794</v>
      </c>
      <c r="E1278" s="1" t="s">
        <v>6335</v>
      </c>
      <c r="F1278" s="1" t="s">
        <v>1517</v>
      </c>
      <c r="G1278" s="1"/>
      <c r="J1278" s="1" t="s">
        <v>9795</v>
      </c>
      <c r="L1278" s="3" t="s">
        <v>9798</v>
      </c>
      <c r="M1278" s="1" t="s">
        <v>12210</v>
      </c>
      <c r="P1278" s="7" t="s">
        <v>1241</v>
      </c>
      <c r="Q1278" s="13"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1278" s="13"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1278" s="13"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T1278"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U1278" s="13"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1278"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U1278" s="15"/>
      <c r="AV1278" s="1" t="s">
        <v>38</v>
      </c>
      <c r="BG1278" s="7" t="s">
        <v>1242</v>
      </c>
      <c r="BH1278" s="1" t="s">
        <v>1976</v>
      </c>
      <c r="BI1278" s="2" t="s">
        <v>6336</v>
      </c>
      <c r="BJ1278" s="1" t="s">
        <v>1947</v>
      </c>
      <c r="BK1278" s="2" t="s">
        <v>6337</v>
      </c>
      <c r="BL1278" s="1" t="s">
        <v>1959</v>
      </c>
      <c r="BM1278" s="1" t="s">
        <v>6338</v>
      </c>
      <c r="BN1278" s="1" t="s">
        <v>1875</v>
      </c>
      <c r="BO1278" s="2" t="s">
        <v>6339</v>
      </c>
      <c r="BP1278" s="1" t="s">
        <v>1877</v>
      </c>
      <c r="BQ1278" s="2" t="s">
        <v>6340</v>
      </c>
    </row>
    <row r="1279" spans="1:73" ht="198" x14ac:dyDescent="0.45">
      <c r="A1279" s="5">
        <v>1278</v>
      </c>
      <c r="B1279" s="6" t="s">
        <v>1015</v>
      </c>
      <c r="C1279" s="6" t="s">
        <v>6851</v>
      </c>
      <c r="D1279" s="7" t="s">
        <v>9794</v>
      </c>
      <c r="E1279" s="1" t="s">
        <v>1392</v>
      </c>
      <c r="F1279" s="1" t="s">
        <v>1798</v>
      </c>
      <c r="G1279" s="1"/>
      <c r="J1279" s="1" t="s">
        <v>9795</v>
      </c>
      <c r="L1279" s="2" t="s">
        <v>9799</v>
      </c>
      <c r="P1279" s="7" t="s">
        <v>1241</v>
      </c>
      <c r="Q1279" s="13" t="str">
        <f>INDEX($L:$L, MATCH("satisfy", $B:$B, 0))</f>
        <v>&lt;span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v>
      </c>
      <c r="AV1279" s="1" t="s">
        <v>38</v>
      </c>
      <c r="BG1279" s="7" t="s">
        <v>1242</v>
      </c>
      <c r="BH1279" s="1" t="s">
        <v>1947</v>
      </c>
      <c r="BI1279" s="1" t="s">
        <v>6341</v>
      </c>
      <c r="BJ1279" s="1" t="s">
        <v>2026</v>
      </c>
      <c r="BK1279" s="1" t="s">
        <v>6342</v>
      </c>
      <c r="BL1279" s="1" t="s">
        <v>1959</v>
      </c>
      <c r="BM1279" s="2" t="s">
        <v>6343</v>
      </c>
      <c r="BN1279" s="1" t="s">
        <v>2114</v>
      </c>
      <c r="BO1279" s="1" t="s">
        <v>6344</v>
      </c>
      <c r="BP1279" s="1" t="s">
        <v>1877</v>
      </c>
      <c r="BQ1279" s="2" t="s">
        <v>6345</v>
      </c>
    </row>
    <row r="1280" spans="1:73" ht="108" x14ac:dyDescent="0.45">
      <c r="A1280" s="5">
        <v>1279</v>
      </c>
      <c r="B1280" s="8" t="s">
        <v>1016</v>
      </c>
      <c r="C1280" s="6" t="s">
        <v>6852</v>
      </c>
      <c r="D1280" s="7" t="s">
        <v>9794</v>
      </c>
      <c r="E1280" s="1" t="s">
        <v>1016</v>
      </c>
      <c r="F1280" s="1"/>
      <c r="G1280" s="1"/>
      <c r="J1280" s="1" t="s">
        <v>9795</v>
      </c>
      <c r="L1280" s="2" t="s">
        <v>9800</v>
      </c>
      <c r="P1280" s="7" t="s">
        <v>1241</v>
      </c>
      <c r="AU1280" s="15"/>
      <c r="AV1280" s="1" t="s">
        <v>38</v>
      </c>
      <c r="BG1280" s="7" t="s">
        <v>1242</v>
      </c>
      <c r="BH1280" s="1" t="s">
        <v>1947</v>
      </c>
      <c r="BI1280" s="2" t="s">
        <v>6346</v>
      </c>
      <c r="BJ1280" s="1" t="s">
        <v>1996</v>
      </c>
      <c r="BK1280" s="1" t="s">
        <v>6347</v>
      </c>
      <c r="BL1280" s="1" t="s">
        <v>1877</v>
      </c>
      <c r="BM1280" s="2" t="s">
        <v>6348</v>
      </c>
    </row>
    <row r="1281" spans="1:69" ht="144" x14ac:dyDescent="0.45">
      <c r="A1281" s="5">
        <v>1280</v>
      </c>
      <c r="B1281" s="8" t="s">
        <v>1017</v>
      </c>
      <c r="C1281" s="6" t="s">
        <v>6852</v>
      </c>
      <c r="D1281" s="7" t="s">
        <v>9794</v>
      </c>
      <c r="E1281" s="1" t="s">
        <v>1467</v>
      </c>
      <c r="F1281" s="1" t="s">
        <v>6349</v>
      </c>
      <c r="G1281" s="1"/>
      <c r="J1281" s="1" t="s">
        <v>9795</v>
      </c>
      <c r="L1281" s="3" t="s">
        <v>9801</v>
      </c>
      <c r="P1281" s="7" t="s">
        <v>1241</v>
      </c>
      <c r="Q1281" s="13"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1281" s="13"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S1281" s="13"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AU1281" s="15"/>
      <c r="AV1281" s="1" t="s">
        <v>38</v>
      </c>
      <c r="BG1281" s="7" t="s">
        <v>1242</v>
      </c>
      <c r="BH1281" s="1" t="s">
        <v>1947</v>
      </c>
      <c r="BI1281" s="2" t="s">
        <v>6350</v>
      </c>
      <c r="BJ1281" s="1" t="s">
        <v>1959</v>
      </c>
      <c r="BK1281" s="1" t="s">
        <v>6351</v>
      </c>
      <c r="BL1281" s="1" t="s">
        <v>1875</v>
      </c>
      <c r="BM1281" s="2" t="s">
        <v>6352</v>
      </c>
      <c r="BN1281" s="1" t="s">
        <v>1877</v>
      </c>
      <c r="BO1281" s="2" t="s">
        <v>6353</v>
      </c>
    </row>
    <row r="1282" spans="1:69" ht="108" x14ac:dyDescent="0.45">
      <c r="A1282" s="5">
        <v>1281</v>
      </c>
      <c r="B1282" s="6" t="s">
        <v>1018</v>
      </c>
      <c r="C1282" s="6" t="s">
        <v>6852</v>
      </c>
      <c r="D1282" s="7" t="s">
        <v>9794</v>
      </c>
      <c r="E1282" s="1" t="s">
        <v>6354</v>
      </c>
      <c r="F1282" s="1" t="s">
        <v>6355</v>
      </c>
      <c r="G1282" s="1"/>
      <c r="J1282" s="1" t="s">
        <v>9795</v>
      </c>
      <c r="K1282" s="2" t="s">
        <v>6356</v>
      </c>
      <c r="L1282" s="2" t="s">
        <v>9802</v>
      </c>
      <c r="P1282" s="7" t="s">
        <v>1241</v>
      </c>
      <c r="AU1282" s="15"/>
      <c r="AV1282" s="1" t="s">
        <v>38</v>
      </c>
      <c r="BG1282" s="7" t="s">
        <v>1242</v>
      </c>
      <c r="BH1282" s="1" t="s">
        <v>1877</v>
      </c>
      <c r="BI1282" s="2" t="s">
        <v>6357</v>
      </c>
    </row>
    <row r="1283" spans="1:69" ht="198" x14ac:dyDescent="0.45">
      <c r="A1283" s="5">
        <v>1282</v>
      </c>
      <c r="B1283" s="6" t="s">
        <v>1019</v>
      </c>
      <c r="C1283" s="6" t="s">
        <v>6852</v>
      </c>
      <c r="D1283" s="7" t="s">
        <v>9794</v>
      </c>
      <c r="E1283" s="1" t="s">
        <v>6358</v>
      </c>
      <c r="F1283" s="1" t="s">
        <v>1551</v>
      </c>
      <c r="G1283" s="1"/>
      <c r="J1283" s="1" t="s">
        <v>9795</v>
      </c>
      <c r="K1283" s="1" t="s">
        <v>6359</v>
      </c>
      <c r="L1283" s="2" t="s">
        <v>9803</v>
      </c>
      <c r="P1283" s="7" t="s">
        <v>1241</v>
      </c>
      <c r="AU1283" s="15"/>
      <c r="AV1283" s="1" t="s">
        <v>38</v>
      </c>
      <c r="BG1283" s="7" t="s">
        <v>1242</v>
      </c>
      <c r="BH1283" s="1" t="s">
        <v>2458</v>
      </c>
      <c r="BI1283" s="2" t="s">
        <v>6360</v>
      </c>
      <c r="BJ1283" s="1" t="s">
        <v>1996</v>
      </c>
      <c r="BK1283" s="2" t="s">
        <v>6361</v>
      </c>
      <c r="BL1283" s="1" t="s">
        <v>1877</v>
      </c>
      <c r="BM1283" s="2" t="s">
        <v>6362</v>
      </c>
    </row>
    <row r="1284" spans="1:69" ht="126" x14ac:dyDescent="0.45">
      <c r="A1284" s="5">
        <v>1283</v>
      </c>
      <c r="B1284" s="6" t="s">
        <v>1020</v>
      </c>
      <c r="C1284" s="6" t="s">
        <v>6852</v>
      </c>
      <c r="D1284" s="7" t="s">
        <v>9794</v>
      </c>
      <c r="E1284" s="1" t="s">
        <v>1327</v>
      </c>
      <c r="F1284" s="1" t="s">
        <v>6363</v>
      </c>
      <c r="G1284" s="1" t="s">
        <v>1818</v>
      </c>
      <c r="J1284" s="1" t="s">
        <v>9795</v>
      </c>
      <c r="K1284" s="1" t="s">
        <v>9804</v>
      </c>
      <c r="L1284" s="2" t="s">
        <v>9805</v>
      </c>
      <c r="P1284" s="7" t="s">
        <v>1241</v>
      </c>
      <c r="AU1284" s="15"/>
      <c r="AV1284" s="1" t="s">
        <v>38</v>
      </c>
      <c r="BG1284" s="7" t="s">
        <v>1242</v>
      </c>
      <c r="BH1284" s="1" t="s">
        <v>1947</v>
      </c>
      <c r="BI1284" s="2" t="s">
        <v>9806</v>
      </c>
      <c r="BJ1284" s="1" t="s">
        <v>1967</v>
      </c>
      <c r="BK1284" s="1" t="s">
        <v>9807</v>
      </c>
      <c r="BL1284" s="1" t="s">
        <v>1875</v>
      </c>
      <c r="BM1284" s="2" t="s">
        <v>6364</v>
      </c>
      <c r="BN1284" s="1" t="s">
        <v>1877</v>
      </c>
      <c r="BO1284" s="2" t="s">
        <v>6365</v>
      </c>
    </row>
    <row r="1285" spans="1:69" ht="108" x14ac:dyDescent="0.45">
      <c r="A1285" s="5">
        <v>1284</v>
      </c>
      <c r="B1285" s="8" t="s">
        <v>1021</v>
      </c>
      <c r="C1285" s="6" t="s">
        <v>6852</v>
      </c>
      <c r="D1285" s="7" t="s">
        <v>9794</v>
      </c>
      <c r="E1285" s="1" t="s">
        <v>1730</v>
      </c>
      <c r="F1285" s="1" t="s">
        <v>6366</v>
      </c>
      <c r="G1285" s="1"/>
      <c r="J1285" s="1" t="s">
        <v>9795</v>
      </c>
      <c r="K1285" s="1" t="s">
        <v>6367</v>
      </c>
      <c r="L1285" s="2" t="s">
        <v>9808</v>
      </c>
      <c r="P1285" s="7" t="s">
        <v>1241</v>
      </c>
      <c r="Q1285" s="13" t="str">
        <f>INDEX($L:$L, MATCH("internal", $B:$B, 0))</f>
        <v>&lt;span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v>
      </c>
      <c r="R1285" s="13" t="str">
        <f>INDEX($L:$L, MATCH("intimate", $B:$B, 0))</f>
        <v>&lt;span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
&lt;span class="spacer"&gt;&lt;/span&gt;imate部分は、ultimate（究極の）でも使われている。ultimateは、ラテン語ulter（超える）に最上級imusが付いて、最も超えていることから「究極の」という意味になる。&lt;/span&gt;</v>
      </c>
      <c r="AU1285" s="15"/>
      <c r="AV1285" s="1" t="s">
        <v>38</v>
      </c>
      <c r="BG1285" s="7" t="s">
        <v>1242</v>
      </c>
      <c r="BH1285" s="1" t="s">
        <v>1947</v>
      </c>
      <c r="BI1285" s="2" t="s">
        <v>6368</v>
      </c>
      <c r="BJ1285" s="1" t="s">
        <v>1875</v>
      </c>
      <c r="BK1285" s="2" t="s">
        <v>6369</v>
      </c>
      <c r="BL1285" s="1" t="s">
        <v>1877</v>
      </c>
      <c r="BM1285" s="2" t="s">
        <v>6370</v>
      </c>
    </row>
    <row r="1286" spans="1:69" ht="180" x14ac:dyDescent="0.45">
      <c r="A1286" s="5">
        <v>1285</v>
      </c>
      <c r="B1286" s="8" t="s">
        <v>1022</v>
      </c>
      <c r="C1286" s="6" t="s">
        <v>6852</v>
      </c>
      <c r="D1286" s="7" t="s">
        <v>9794</v>
      </c>
      <c r="E1286" s="1" t="s">
        <v>1725</v>
      </c>
      <c r="F1286" s="1" t="s">
        <v>6371</v>
      </c>
      <c r="G1286" s="1"/>
      <c r="J1286" s="1" t="s">
        <v>9795</v>
      </c>
      <c r="L1286" s="3" t="s">
        <v>9809</v>
      </c>
      <c r="M1286" s="1" t="s">
        <v>12271</v>
      </c>
      <c r="P1286" s="7" t="s">
        <v>1241</v>
      </c>
      <c r="Q1286" s="13"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class="spacer"&gt;&lt;/span&gt;また感覚や認識で見えたものが、本当に見えた通りであるとは限らない。ここから「一見〜らしい」という意味になる。&lt;/span&gt;</v>
      </c>
      <c r="R1286" s="13"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U1286" s="15"/>
      <c r="AV1286" s="1" t="s">
        <v>38</v>
      </c>
      <c r="BG1286" s="7" t="s">
        <v>1242</v>
      </c>
      <c r="BH1286" s="1" t="s">
        <v>1947</v>
      </c>
      <c r="BI1286" s="2" t="s">
        <v>6372</v>
      </c>
      <c r="BJ1286" s="1" t="s">
        <v>1967</v>
      </c>
      <c r="BK1286" s="2" t="s">
        <v>6373</v>
      </c>
      <c r="BL1286" s="1" t="s">
        <v>1875</v>
      </c>
      <c r="BM1286" s="2" t="s">
        <v>6374</v>
      </c>
      <c r="BN1286" s="1" t="s">
        <v>1877</v>
      </c>
      <c r="BO1286" s="2" t="s">
        <v>6375</v>
      </c>
    </row>
    <row r="1287" spans="1:69" ht="270" x14ac:dyDescent="0.45">
      <c r="A1287" s="5">
        <v>1286</v>
      </c>
      <c r="B1287" s="6" t="s">
        <v>1023</v>
      </c>
      <c r="C1287" s="6" t="s">
        <v>6852</v>
      </c>
      <c r="D1287" s="7" t="s">
        <v>9794</v>
      </c>
      <c r="E1287" s="1" t="s">
        <v>6376</v>
      </c>
      <c r="F1287" s="1" t="s">
        <v>1551</v>
      </c>
      <c r="G1287" s="1"/>
      <c r="J1287" s="1" t="s">
        <v>9795</v>
      </c>
      <c r="K1287" s="1" t="s">
        <v>6377</v>
      </c>
      <c r="L1287" s="2" t="s">
        <v>9810</v>
      </c>
      <c r="P1287" s="7" t="s">
        <v>1241</v>
      </c>
      <c r="AU1287" s="15"/>
      <c r="AV1287" s="1" t="s">
        <v>38</v>
      </c>
      <c r="BG1287" s="7" t="s">
        <v>1242</v>
      </c>
      <c r="BH1287" s="1" t="s">
        <v>2458</v>
      </c>
      <c r="BI1287" s="2" t="s">
        <v>6378</v>
      </c>
      <c r="BJ1287" s="1" t="s">
        <v>6379</v>
      </c>
      <c r="BK1287" s="2" t="s">
        <v>6380</v>
      </c>
      <c r="BL1287" s="1" t="s">
        <v>1877</v>
      </c>
      <c r="BM1287" s="2" t="s">
        <v>9811</v>
      </c>
    </row>
    <row r="1288" spans="1:69" ht="162" x14ac:dyDescent="0.45">
      <c r="A1288" s="5">
        <v>1287</v>
      </c>
      <c r="B1288" s="6" t="s">
        <v>1024</v>
      </c>
      <c r="C1288" s="6" t="s">
        <v>6852</v>
      </c>
      <c r="D1288" s="7" t="s">
        <v>9794</v>
      </c>
      <c r="E1288" s="1" t="s">
        <v>1327</v>
      </c>
      <c r="F1288" s="1" t="s">
        <v>4480</v>
      </c>
      <c r="G1288" s="1" t="s">
        <v>1818</v>
      </c>
      <c r="J1288" s="1" t="s">
        <v>9795</v>
      </c>
      <c r="L1288" s="3" t="s">
        <v>9812</v>
      </c>
      <c r="P1288" s="7" t="s">
        <v>1241</v>
      </c>
      <c r="AU1288" s="15"/>
      <c r="AV1288" s="1" t="s">
        <v>38</v>
      </c>
      <c r="BG1288" s="7" t="s">
        <v>1242</v>
      </c>
      <c r="BH1288" s="1" t="s">
        <v>1947</v>
      </c>
      <c r="BI1288" s="2" t="s">
        <v>6381</v>
      </c>
      <c r="BJ1288" s="1" t="s">
        <v>1875</v>
      </c>
      <c r="BK1288" s="2" t="s">
        <v>6382</v>
      </c>
      <c r="BL1288" s="1" t="s">
        <v>1877</v>
      </c>
      <c r="BM1288" s="2" t="s">
        <v>6383</v>
      </c>
    </row>
    <row r="1289" spans="1:69" ht="216" x14ac:dyDescent="0.45">
      <c r="A1289" s="5">
        <v>1288</v>
      </c>
      <c r="B1289" s="8" t="s">
        <v>1025</v>
      </c>
      <c r="C1289" s="6" t="s">
        <v>6852</v>
      </c>
      <c r="D1289" s="7" t="s">
        <v>9794</v>
      </c>
      <c r="E1289" s="1" t="s">
        <v>1741</v>
      </c>
      <c r="F1289" s="1" t="s">
        <v>6384</v>
      </c>
      <c r="G1289" s="1" t="s">
        <v>1551</v>
      </c>
      <c r="J1289" s="1" t="s">
        <v>9795</v>
      </c>
      <c r="L1289" s="3" t="s">
        <v>9813</v>
      </c>
      <c r="M1289" s="1" t="s">
        <v>12263</v>
      </c>
      <c r="P1289" s="7" t="s">
        <v>1241</v>
      </c>
      <c r="Q1289" s="13" t="str">
        <f>INDEX($L:$L, MATCH("democracy", $B:$B, 0))</f>
        <v>&lt;span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v>
      </c>
      <c r="R1289" s="13" t="str">
        <f>INDEX($L:$L, MATCH("epidemic", $B:$B, 0))</f>
        <v>&lt;span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v>
      </c>
      <c r="AU1289" s="15"/>
      <c r="AV1289" s="1" t="s">
        <v>38</v>
      </c>
      <c r="BG1289" s="7" t="s">
        <v>1242</v>
      </c>
      <c r="BH1289" s="1" t="s">
        <v>2458</v>
      </c>
      <c r="BI1289" s="2" t="s">
        <v>6385</v>
      </c>
      <c r="BJ1289" s="1" t="s">
        <v>1877</v>
      </c>
      <c r="BK1289" s="2" t="s">
        <v>6386</v>
      </c>
    </row>
    <row r="1290" spans="1:69" ht="108" x14ac:dyDescent="0.45">
      <c r="A1290" s="5">
        <v>1289</v>
      </c>
      <c r="B1290" s="6" t="s">
        <v>1026</v>
      </c>
      <c r="C1290" s="6" t="s">
        <v>6852</v>
      </c>
      <c r="D1290" s="7" t="s">
        <v>9794</v>
      </c>
      <c r="E1290" s="1" t="s">
        <v>1338</v>
      </c>
      <c r="F1290" s="1" t="s">
        <v>6387</v>
      </c>
      <c r="G1290" s="1" t="s">
        <v>1551</v>
      </c>
      <c r="J1290" s="1" t="s">
        <v>9795</v>
      </c>
      <c r="L1290" s="2" t="s">
        <v>9814</v>
      </c>
      <c r="P1290" s="7" t="s">
        <v>1241</v>
      </c>
      <c r="AU1290" s="15"/>
      <c r="AV1290" s="1" t="s">
        <v>38</v>
      </c>
      <c r="BG1290" s="7" t="s">
        <v>1242</v>
      </c>
      <c r="BH1290" s="1" t="s">
        <v>2458</v>
      </c>
      <c r="BI1290" s="2" t="s">
        <v>6388</v>
      </c>
      <c r="BJ1290" s="1" t="s">
        <v>1947</v>
      </c>
      <c r="BK1290" s="1" t="s">
        <v>6389</v>
      </c>
      <c r="BL1290" s="1" t="s">
        <v>1875</v>
      </c>
      <c r="BM1290" s="2" t="s">
        <v>6390</v>
      </c>
      <c r="BN1290" s="1" t="s">
        <v>1877</v>
      </c>
      <c r="BO1290" s="2" t="s">
        <v>9815</v>
      </c>
    </row>
    <row r="1291" spans="1:69" ht="144" x14ac:dyDescent="0.45">
      <c r="A1291" s="5">
        <v>1290</v>
      </c>
      <c r="B1291" s="8" t="s">
        <v>1027</v>
      </c>
      <c r="C1291" s="6" t="s">
        <v>6852</v>
      </c>
      <c r="D1291" s="7" t="s">
        <v>9794</v>
      </c>
      <c r="E1291" s="1" t="s">
        <v>27</v>
      </c>
      <c r="F1291" s="1" t="s">
        <v>6391</v>
      </c>
      <c r="G1291" s="1"/>
      <c r="J1291" s="1" t="s">
        <v>9795</v>
      </c>
      <c r="L1291" s="2" t="s">
        <v>9816</v>
      </c>
      <c r="M1291" s="1" t="s">
        <v>12200</v>
      </c>
      <c r="P1291" s="7" t="s">
        <v>1241</v>
      </c>
      <c r="Q1291" s="13"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291" s="13"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S1291" s="13"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T1291" s="13"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U1291" s="13"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V1291" s="13"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1291" s="13"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1291" s="13"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1291" s="1" t="s">
        <v>38</v>
      </c>
      <c r="BG1291" s="7" t="s">
        <v>1242</v>
      </c>
      <c r="BH1291" s="1" t="s">
        <v>1976</v>
      </c>
      <c r="BI1291" s="1" t="s">
        <v>2838</v>
      </c>
      <c r="BJ1291" s="1" t="s">
        <v>1947</v>
      </c>
      <c r="BK1291" s="2" t="s">
        <v>6392</v>
      </c>
      <c r="BL1291" s="1" t="s">
        <v>2036</v>
      </c>
      <c r="BM1291" s="1" t="s">
        <v>6393</v>
      </c>
      <c r="BN1291" s="1" t="s">
        <v>1875</v>
      </c>
      <c r="BO1291" s="2" t="s">
        <v>6394</v>
      </c>
    </row>
    <row r="1292" spans="1:69" ht="108" x14ac:dyDescent="0.45">
      <c r="A1292" s="5">
        <v>1291</v>
      </c>
      <c r="B1292" s="8" t="s">
        <v>1028</v>
      </c>
      <c r="C1292" s="6" t="s">
        <v>6852</v>
      </c>
      <c r="D1292" s="7" t="s">
        <v>9794</v>
      </c>
      <c r="E1292" s="1" t="s">
        <v>1028</v>
      </c>
      <c r="F1292" s="1"/>
      <c r="G1292" s="1"/>
      <c r="J1292" s="1" t="s">
        <v>9795</v>
      </c>
      <c r="L1292" s="2" t="s">
        <v>9817</v>
      </c>
      <c r="P1292" s="7" t="s">
        <v>1241</v>
      </c>
      <c r="Q1292" s="13" t="str">
        <f>INDEX($L:$L, MATCH("melt", $B:$B, 0))</f>
        <v>&lt;span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v>
      </c>
      <c r="AV1292" s="1" t="s">
        <v>38</v>
      </c>
      <c r="BG1292" s="7" t="s">
        <v>1242</v>
      </c>
      <c r="BH1292" s="1" t="s">
        <v>1872</v>
      </c>
      <c r="BI1292" s="1" t="s">
        <v>6395</v>
      </c>
      <c r="BJ1292" s="1" t="s">
        <v>1875</v>
      </c>
      <c r="BK1292" s="2" t="s">
        <v>6396</v>
      </c>
      <c r="BL1292" s="1" t="s">
        <v>1877</v>
      </c>
      <c r="BM1292" s="2" t="s">
        <v>6397</v>
      </c>
    </row>
    <row r="1293" spans="1:69" ht="162" x14ac:dyDescent="0.45">
      <c r="A1293" s="5">
        <v>1292</v>
      </c>
      <c r="B1293" s="6" t="s">
        <v>1029</v>
      </c>
      <c r="C1293" s="6" t="s">
        <v>6852</v>
      </c>
      <c r="D1293" s="7" t="s">
        <v>9794</v>
      </c>
      <c r="E1293" s="1" t="s">
        <v>6398</v>
      </c>
      <c r="F1293" s="1" t="s">
        <v>1551</v>
      </c>
      <c r="G1293" s="1"/>
      <c r="J1293" s="1" t="s">
        <v>9795</v>
      </c>
      <c r="L1293" s="3" t="s">
        <v>9818</v>
      </c>
      <c r="P1293" s="7" t="s">
        <v>1241</v>
      </c>
      <c r="AU1293" s="15"/>
      <c r="AV1293" s="1" t="s">
        <v>38</v>
      </c>
      <c r="BG1293" s="7" t="s">
        <v>1242</v>
      </c>
      <c r="BH1293" s="1" t="s">
        <v>2458</v>
      </c>
      <c r="BI1293" s="2" t="s">
        <v>6399</v>
      </c>
      <c r="BJ1293" s="1" t="s">
        <v>1947</v>
      </c>
      <c r="BK1293" s="1" t="s">
        <v>6400</v>
      </c>
      <c r="BL1293" s="1" t="s">
        <v>2036</v>
      </c>
      <c r="BM1293" s="1" t="s">
        <v>6401</v>
      </c>
      <c r="BN1293" s="1" t="s">
        <v>1996</v>
      </c>
      <c r="BO1293" s="1" t="s">
        <v>6402</v>
      </c>
      <c r="BP1293" s="1" t="s">
        <v>1877</v>
      </c>
      <c r="BQ1293" s="2" t="s">
        <v>6403</v>
      </c>
    </row>
    <row r="1294" spans="1:69" ht="162" x14ac:dyDescent="0.45">
      <c r="A1294" s="5">
        <v>1293</v>
      </c>
      <c r="B1294" s="6" t="s">
        <v>1030</v>
      </c>
      <c r="C1294" s="6" t="s">
        <v>6852</v>
      </c>
      <c r="D1294" s="7" t="s">
        <v>9794</v>
      </c>
      <c r="E1294" s="1" t="s">
        <v>1621</v>
      </c>
      <c r="F1294" s="1" t="s">
        <v>613</v>
      </c>
      <c r="G1294" s="1" t="s">
        <v>1819</v>
      </c>
      <c r="J1294" s="1" t="s">
        <v>9795</v>
      </c>
      <c r="K1294" s="1" t="s">
        <v>6404</v>
      </c>
      <c r="L1294" s="2" t="s">
        <v>9819</v>
      </c>
      <c r="P1294" s="7" t="s">
        <v>1241</v>
      </c>
      <c r="Q1294" s="13" t="str">
        <f>INDEX($L:$L, MATCH("shame", $B:$B, 0))</f>
        <v>&lt;span class="w"&gt;&lt;b&gt;【866.shame：恥, 残念なこと】&lt;/b&gt;&lt;/span&gt;
&lt;span class="ml"&gt;古英語から恥や不名誉に関連する意味があり、そこから大きく変わっていない。&lt;/span&gt;</v>
      </c>
      <c r="AU1294" s="15"/>
      <c r="AV1294" s="1" t="s">
        <v>38</v>
      </c>
      <c r="BG1294" s="7" t="s">
        <v>1242</v>
      </c>
      <c r="BH1294" s="1" t="s">
        <v>1976</v>
      </c>
      <c r="BI1294" s="1" t="s">
        <v>9820</v>
      </c>
      <c r="BJ1294" s="1" t="s">
        <v>1872</v>
      </c>
      <c r="BK1294" s="2" t="s">
        <v>6405</v>
      </c>
    </row>
    <row r="1295" spans="1:69" ht="180" x14ac:dyDescent="0.45">
      <c r="A1295" s="5">
        <v>1294</v>
      </c>
      <c r="B1295" s="6" t="s">
        <v>1031</v>
      </c>
      <c r="C1295" s="6" t="s">
        <v>6852</v>
      </c>
      <c r="D1295" s="7" t="s">
        <v>9794</v>
      </c>
      <c r="E1295" s="1" t="s">
        <v>6406</v>
      </c>
      <c r="F1295" s="1" t="s">
        <v>4532</v>
      </c>
      <c r="G1295" s="1"/>
      <c r="J1295" s="1" t="s">
        <v>9795</v>
      </c>
      <c r="K1295" s="1" t="s">
        <v>9821</v>
      </c>
      <c r="L1295" s="2" t="s">
        <v>9822</v>
      </c>
      <c r="P1295" s="7" t="s">
        <v>1241</v>
      </c>
      <c r="Q1295" s="13" t="str">
        <f>INDEX($L:$L, MATCH("humanity", $B:$B, 0))</f>
        <v>&lt;span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v>
      </c>
      <c r="AU1295" s="15"/>
      <c r="AV1295" s="1" t="s">
        <v>38</v>
      </c>
      <c r="BG1295" s="7" t="s">
        <v>1242</v>
      </c>
      <c r="BH1295" s="1" t="s">
        <v>1947</v>
      </c>
      <c r="BI1295" s="2" t="s">
        <v>6407</v>
      </c>
      <c r="BJ1295" s="1" t="s">
        <v>1959</v>
      </c>
      <c r="BK1295" s="1" t="s">
        <v>1031</v>
      </c>
      <c r="BL1295" s="1" t="s">
        <v>1875</v>
      </c>
      <c r="BM1295" s="2" t="s">
        <v>6408</v>
      </c>
    </row>
    <row r="1296" spans="1:69" ht="252" x14ac:dyDescent="0.45">
      <c r="A1296" s="5">
        <v>1295</v>
      </c>
      <c r="B1296" s="6" t="s">
        <v>1032</v>
      </c>
      <c r="C1296" s="6" t="s">
        <v>6852</v>
      </c>
      <c r="D1296" s="7" t="s">
        <v>9794</v>
      </c>
      <c r="E1296" s="1" t="s">
        <v>9823</v>
      </c>
      <c r="F1296" s="1" t="s">
        <v>9824</v>
      </c>
      <c r="G1296" s="1" t="s">
        <v>1542</v>
      </c>
      <c r="J1296" s="1" t="s">
        <v>9795</v>
      </c>
      <c r="L1296" s="3" t="s">
        <v>10448</v>
      </c>
      <c r="P1296" s="7" t="s">
        <v>1241</v>
      </c>
      <c r="AU1296" s="15"/>
      <c r="AV1296" s="1" t="s">
        <v>38</v>
      </c>
      <c r="BG1296" s="7" t="s">
        <v>1242</v>
      </c>
      <c r="BH1296" s="1" t="s">
        <v>1947</v>
      </c>
      <c r="BI1296" s="2" t="s">
        <v>6409</v>
      </c>
      <c r="BJ1296" s="1" t="s">
        <v>1959</v>
      </c>
      <c r="BK1296" s="1" t="s">
        <v>6410</v>
      </c>
      <c r="BL1296" s="1" t="s">
        <v>1875</v>
      </c>
      <c r="BM1296" s="2" t="s">
        <v>6411</v>
      </c>
      <c r="BN1296" s="1" t="s">
        <v>1877</v>
      </c>
      <c r="BO1296" s="2" t="s">
        <v>6412</v>
      </c>
    </row>
    <row r="1297" spans="1:67" ht="90" x14ac:dyDescent="0.45">
      <c r="A1297" s="5">
        <v>1296</v>
      </c>
      <c r="B1297" s="6" t="s">
        <v>1033</v>
      </c>
      <c r="C1297" s="6" t="s">
        <v>6852</v>
      </c>
      <c r="D1297" s="7" t="s">
        <v>9794</v>
      </c>
      <c r="E1297" s="1" t="s">
        <v>1033</v>
      </c>
      <c r="F1297" s="1"/>
      <c r="G1297" s="1"/>
      <c r="J1297" s="1" t="s">
        <v>9795</v>
      </c>
      <c r="L1297" s="3" t="s">
        <v>9825</v>
      </c>
      <c r="P1297" s="7" t="s">
        <v>1241</v>
      </c>
      <c r="AV1297" s="1" t="s">
        <v>38</v>
      </c>
      <c r="BG1297" s="7" t="s">
        <v>1242</v>
      </c>
      <c r="BH1297" s="1" t="s">
        <v>1872</v>
      </c>
      <c r="BI1297" s="1" t="s">
        <v>6413</v>
      </c>
      <c r="BJ1297" s="1" t="s">
        <v>1875</v>
      </c>
      <c r="BK1297" s="1" t="s">
        <v>6414</v>
      </c>
    </row>
    <row r="1298" spans="1:67" ht="180" x14ac:dyDescent="0.45">
      <c r="A1298" s="5">
        <v>1297</v>
      </c>
      <c r="B1298" s="8" t="s">
        <v>1034</v>
      </c>
      <c r="C1298" s="6" t="s">
        <v>6852</v>
      </c>
      <c r="D1298" s="7" t="s">
        <v>9794</v>
      </c>
      <c r="E1298" s="1" t="s">
        <v>6415</v>
      </c>
      <c r="F1298" s="1" t="s">
        <v>6416</v>
      </c>
      <c r="G1298" s="1" t="s">
        <v>49</v>
      </c>
      <c r="J1298" s="1" t="s">
        <v>9795</v>
      </c>
      <c r="L1298" s="2" t="s">
        <v>9826</v>
      </c>
      <c r="M1298" s="1" t="s">
        <v>12242</v>
      </c>
      <c r="P1298" s="7" t="s">
        <v>1241</v>
      </c>
      <c r="Q1298" s="13"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1298" s="13"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S1298" s="13" t="str">
        <f>INDEX($L:$L, MATCH("via", $B:$B, 0))</f>
        <v>&lt;span class="w"&gt;&lt;b&gt;【800.via：〜経由で】&lt;/b&gt;&lt;/span&gt;
&lt;span class="ml"&gt;ラテン語via（道, 〜経由で）に由来する。
&lt;span class="spacer"&gt;&lt;/span&gt;ラテン語から意味の変化はほとんどなく「〜経由で」という意味になる。&lt;/span&gt;</v>
      </c>
      <c r="T1298" s="13"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AU1298" s="15"/>
      <c r="AV1298" s="1" t="s">
        <v>38</v>
      </c>
      <c r="BG1298" s="7" t="s">
        <v>1242</v>
      </c>
      <c r="BH1298" s="1" t="s">
        <v>1947</v>
      </c>
      <c r="BI1298" s="2" t="s">
        <v>6417</v>
      </c>
      <c r="BJ1298" s="1" t="s">
        <v>1877</v>
      </c>
      <c r="BK1298" s="2" t="s">
        <v>6418</v>
      </c>
    </row>
    <row r="1299" spans="1:67" ht="198" x14ac:dyDescent="0.45">
      <c r="A1299" s="5">
        <v>1298</v>
      </c>
      <c r="B1299" s="8" t="s">
        <v>1035</v>
      </c>
      <c r="C1299" s="6" t="s">
        <v>6852</v>
      </c>
      <c r="D1299" s="7" t="s">
        <v>9794</v>
      </c>
      <c r="E1299" s="1" t="s">
        <v>6419</v>
      </c>
      <c r="F1299" s="1" t="s">
        <v>6420</v>
      </c>
      <c r="G1299" s="1"/>
      <c r="J1299" s="1" t="s">
        <v>9795</v>
      </c>
      <c r="L1299" s="3" t="s">
        <v>9827</v>
      </c>
      <c r="P1299" s="7" t="s">
        <v>1241</v>
      </c>
      <c r="Q1299" s="13" t="str">
        <f>INDEX($L:$L, MATCH("major", $B:$B, 0))</f>
        <v>&lt;span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v>
      </c>
      <c r="R1299" s="13" t="str">
        <f>INDEX($L:$L, MATCH("maximum", $B:$B, 0))</f>
        <v>&lt;span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v>
      </c>
      <c r="AU1299" s="15"/>
      <c r="AV1299" s="1" t="s">
        <v>38</v>
      </c>
      <c r="BG1299" s="7" t="s">
        <v>1242</v>
      </c>
      <c r="BH1299" s="1" t="s">
        <v>1947</v>
      </c>
      <c r="BI1299" s="2" t="s">
        <v>6421</v>
      </c>
      <c r="BJ1299" s="1" t="s">
        <v>1959</v>
      </c>
      <c r="BK1299" s="1" t="s">
        <v>6422</v>
      </c>
      <c r="BL1299" s="1" t="s">
        <v>1875</v>
      </c>
      <c r="BM1299" s="2" t="s">
        <v>6423</v>
      </c>
      <c r="BN1299" s="1" t="s">
        <v>1877</v>
      </c>
      <c r="BO1299" s="2" t="s">
        <v>6424</v>
      </c>
    </row>
    <row r="1300" spans="1:67" ht="108" x14ac:dyDescent="0.45">
      <c r="A1300" s="5">
        <v>1299</v>
      </c>
      <c r="B1300" s="6" t="s">
        <v>1036</v>
      </c>
      <c r="C1300" s="6" t="s">
        <v>6852</v>
      </c>
      <c r="D1300" s="7" t="s">
        <v>9794</v>
      </c>
      <c r="E1300" s="1" t="s">
        <v>6425</v>
      </c>
      <c r="F1300" s="1" t="s">
        <v>1556</v>
      </c>
      <c r="G1300" s="1"/>
      <c r="J1300" s="1" t="s">
        <v>9795</v>
      </c>
      <c r="L1300" s="2" t="s">
        <v>9828</v>
      </c>
      <c r="P1300" s="7" t="s">
        <v>1241</v>
      </c>
      <c r="AU1300" s="15"/>
      <c r="AV1300" s="1" t="s">
        <v>38</v>
      </c>
      <c r="BG1300" s="7" t="s">
        <v>1242</v>
      </c>
      <c r="BH1300" s="1" t="s">
        <v>1877</v>
      </c>
      <c r="BI1300" s="2" t="s">
        <v>6426</v>
      </c>
      <c r="BJ1300" s="1" t="s">
        <v>3497</v>
      </c>
      <c r="BK1300" s="2" t="s">
        <v>6427</v>
      </c>
    </row>
    <row r="1301" spans="1:67" ht="162" x14ac:dyDescent="0.45">
      <c r="A1301" s="5">
        <v>1300</v>
      </c>
      <c r="B1301" s="6" t="s">
        <v>1037</v>
      </c>
      <c r="C1301" s="6" t="s">
        <v>6852</v>
      </c>
      <c r="D1301" s="7" t="s">
        <v>9794</v>
      </c>
      <c r="E1301" s="1" t="s">
        <v>6428</v>
      </c>
      <c r="F1301" s="1" t="s">
        <v>6429</v>
      </c>
      <c r="G1301" s="1"/>
      <c r="J1301" s="1" t="s">
        <v>9795</v>
      </c>
      <c r="L1301" s="2" t="s">
        <v>9829</v>
      </c>
      <c r="P1301" s="7" t="s">
        <v>1241</v>
      </c>
      <c r="Q1301" s="13" t="str">
        <f>INDEX($L:$L, MATCH("undergo", $B:$B, 0))</f>
        <v>&lt;span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v>
      </c>
      <c r="AV1301" s="1" t="s">
        <v>38</v>
      </c>
      <c r="BG1301" s="7" t="s">
        <v>1242</v>
      </c>
      <c r="BH1301" s="1" t="s">
        <v>1877</v>
      </c>
      <c r="BI1301" s="1" t="s">
        <v>6430</v>
      </c>
    </row>
    <row r="1302" spans="1:67" ht="288" x14ac:dyDescent="0.45">
      <c r="A1302" s="5">
        <v>1301</v>
      </c>
      <c r="B1302" s="8" t="s">
        <v>1038</v>
      </c>
      <c r="C1302" s="6" t="s">
        <v>1816</v>
      </c>
      <c r="D1302" s="7" t="s">
        <v>9794</v>
      </c>
      <c r="E1302" s="1" t="s">
        <v>1392</v>
      </c>
      <c r="F1302" s="1" t="s">
        <v>6431</v>
      </c>
      <c r="G1302" s="1"/>
      <c r="J1302" s="1" t="s">
        <v>9795</v>
      </c>
      <c r="L1302" s="3" t="s">
        <v>10419</v>
      </c>
      <c r="M1302" s="1" t="s">
        <v>12256</v>
      </c>
      <c r="P1302" s="7" t="s">
        <v>1241</v>
      </c>
      <c r="Q1302" s="13"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1302" s="13"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S1302" s="13"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T1302" s="13"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U1302" s="13"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V1302"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1302" s="15"/>
      <c r="AV1302" s="1" t="s">
        <v>38</v>
      </c>
      <c r="BG1302" s="7" t="s">
        <v>1242</v>
      </c>
      <c r="BH1302" s="1" t="s">
        <v>1947</v>
      </c>
      <c r="BI1302" s="2" t="s">
        <v>9830</v>
      </c>
      <c r="BJ1302" s="1" t="s">
        <v>2026</v>
      </c>
      <c r="BK1302" s="2" t="s">
        <v>6432</v>
      </c>
      <c r="BL1302" s="1" t="s">
        <v>1959</v>
      </c>
      <c r="BM1302" s="1" t="s">
        <v>6433</v>
      </c>
      <c r="BN1302" s="1" t="s">
        <v>1875</v>
      </c>
      <c r="BO1302" s="2" t="s">
        <v>6434</v>
      </c>
    </row>
    <row r="1303" spans="1:67" ht="144" x14ac:dyDescent="0.45">
      <c r="A1303" s="5">
        <v>1302</v>
      </c>
      <c r="B1303" s="8" t="s">
        <v>1039</v>
      </c>
      <c r="C1303" s="6" t="s">
        <v>1816</v>
      </c>
      <c r="D1303" s="7" t="s">
        <v>9794</v>
      </c>
      <c r="E1303" s="1" t="s">
        <v>1338</v>
      </c>
      <c r="F1303" s="1" t="s">
        <v>6435</v>
      </c>
      <c r="G1303" s="1"/>
      <c r="J1303" s="1" t="s">
        <v>9795</v>
      </c>
      <c r="L1303" s="3" t="s">
        <v>9831</v>
      </c>
      <c r="M1303" s="1" t="s">
        <v>12223</v>
      </c>
      <c r="P1303" s="7" t="s">
        <v>1241</v>
      </c>
      <c r="Q1303"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303"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303"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303"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1303"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V1303"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W1303"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X1303"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Y1303"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303"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303" s="15"/>
      <c r="AV1303" s="1" t="s">
        <v>38</v>
      </c>
      <c r="BG1303" s="7" t="s">
        <v>1242</v>
      </c>
      <c r="BH1303" s="1" t="s">
        <v>1947</v>
      </c>
      <c r="BI1303" s="2" t="s">
        <v>6436</v>
      </c>
      <c r="BJ1303" s="1" t="s">
        <v>1959</v>
      </c>
      <c r="BK1303" s="1" t="s">
        <v>6437</v>
      </c>
      <c r="BL1303" s="1" t="s">
        <v>1875</v>
      </c>
      <c r="BM1303" s="2" t="s">
        <v>6438</v>
      </c>
    </row>
    <row r="1304" spans="1:67" ht="108" x14ac:dyDescent="0.45">
      <c r="A1304" s="5">
        <v>1303</v>
      </c>
      <c r="B1304" s="8" t="s">
        <v>1040</v>
      </c>
      <c r="C1304" s="6" t="s">
        <v>1816</v>
      </c>
      <c r="D1304" s="7" t="s">
        <v>9794</v>
      </c>
      <c r="E1304" s="1" t="s">
        <v>1251</v>
      </c>
      <c r="F1304" s="1" t="s">
        <v>1342</v>
      </c>
      <c r="G1304" s="1"/>
      <c r="J1304" s="1" t="s">
        <v>9795</v>
      </c>
      <c r="L1304" s="2" t="s">
        <v>9832</v>
      </c>
      <c r="M1304" s="1" t="s">
        <v>12214</v>
      </c>
      <c r="P1304" s="7" t="s">
        <v>1241</v>
      </c>
      <c r="Q1304" s="13" t="str">
        <f>INDEX($L:$L, MATCH("survive", $B:$B, 0))</f>
        <v>&lt;span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v>
      </c>
      <c r="R1304" s="13" t="str">
        <f>INDEX($L:$L, MATCH("vivid", $B:$B, 0))</f>
        <v>&lt;span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v>
      </c>
      <c r="S1304" s="13" t="str">
        <f>INDEX($L:$L, MATCH("vital", $B:$B, 0))</f>
        <v>&lt;span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v>
      </c>
      <c r="AU1304" s="15"/>
      <c r="AV1304" s="1" t="s">
        <v>38</v>
      </c>
      <c r="BG1304" s="7" t="s">
        <v>1242</v>
      </c>
      <c r="BH1304" s="1" t="s">
        <v>1947</v>
      </c>
      <c r="BI1304" s="2" t="s">
        <v>6439</v>
      </c>
      <c r="BJ1304" s="1" t="s">
        <v>1959</v>
      </c>
      <c r="BK1304" s="2" t="s">
        <v>6440</v>
      </c>
      <c r="BL1304" s="1" t="s">
        <v>1875</v>
      </c>
      <c r="BM1304" s="2" t="s">
        <v>6441</v>
      </c>
      <c r="BN1304" s="1" t="s">
        <v>1877</v>
      </c>
      <c r="BO1304" s="2" t="s">
        <v>6442</v>
      </c>
    </row>
    <row r="1305" spans="1:67" ht="162" x14ac:dyDescent="0.45">
      <c r="A1305" s="5">
        <v>1304</v>
      </c>
      <c r="B1305" s="8" t="s">
        <v>1041</v>
      </c>
      <c r="C1305" s="6" t="s">
        <v>1816</v>
      </c>
      <c r="D1305" s="7" t="s">
        <v>9794</v>
      </c>
      <c r="E1305" s="1" t="s">
        <v>1467</v>
      </c>
      <c r="F1305" s="1" t="s">
        <v>6443</v>
      </c>
      <c r="G1305" s="1"/>
      <c r="J1305" s="1" t="s">
        <v>9795</v>
      </c>
      <c r="L1305" s="3" t="s">
        <v>9900</v>
      </c>
      <c r="P1305" s="7" t="s">
        <v>1241</v>
      </c>
      <c r="Q1305" s="13"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R1305" s="13"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S1305" s="13"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AU1305" s="15"/>
      <c r="AV1305" s="1" t="s">
        <v>38</v>
      </c>
      <c r="BG1305" s="7" t="s">
        <v>1242</v>
      </c>
      <c r="BH1305" s="1" t="s">
        <v>1947</v>
      </c>
      <c r="BI1305" s="2" t="s">
        <v>6444</v>
      </c>
      <c r="BJ1305" s="1" t="s">
        <v>1959</v>
      </c>
      <c r="BK1305" s="1" t="s">
        <v>6445</v>
      </c>
      <c r="BL1305" s="1" t="s">
        <v>1875</v>
      </c>
      <c r="BM1305" s="2" t="s">
        <v>6446</v>
      </c>
    </row>
    <row r="1306" spans="1:67" ht="90" x14ac:dyDescent="0.45">
      <c r="A1306" s="5">
        <v>1305</v>
      </c>
      <c r="B1306" s="6" t="s">
        <v>1042</v>
      </c>
      <c r="C1306" s="6" t="s">
        <v>1816</v>
      </c>
      <c r="D1306" s="7" t="s">
        <v>9794</v>
      </c>
      <c r="E1306" s="1" t="s">
        <v>1042</v>
      </c>
      <c r="F1306" s="1"/>
      <c r="G1306" s="1"/>
      <c r="J1306" s="1" t="s">
        <v>9795</v>
      </c>
      <c r="L1306" s="2" t="s">
        <v>9833</v>
      </c>
      <c r="P1306" s="7" t="s">
        <v>1241</v>
      </c>
      <c r="AV1306" s="1" t="s">
        <v>38</v>
      </c>
      <c r="BG1306" s="7" t="s">
        <v>1242</v>
      </c>
      <c r="BH1306" s="1" t="s">
        <v>1872</v>
      </c>
      <c r="BI1306" s="1" t="s">
        <v>6447</v>
      </c>
      <c r="BJ1306" s="1" t="s">
        <v>1875</v>
      </c>
      <c r="BK1306" s="2" t="s">
        <v>6448</v>
      </c>
    </row>
    <row r="1307" spans="1:67" ht="144" x14ac:dyDescent="0.45">
      <c r="A1307" s="5">
        <v>1306</v>
      </c>
      <c r="B1307" s="6" t="s">
        <v>1043</v>
      </c>
      <c r="C1307" s="6" t="s">
        <v>1816</v>
      </c>
      <c r="D1307" s="7" t="s">
        <v>9794</v>
      </c>
      <c r="E1307" s="1" t="s">
        <v>1812</v>
      </c>
      <c r="F1307" s="1" t="s">
        <v>1422</v>
      </c>
      <c r="G1307" s="1"/>
      <c r="J1307" s="1" t="s">
        <v>9795</v>
      </c>
      <c r="K1307" s="2"/>
      <c r="L1307" s="2" t="s">
        <v>9834</v>
      </c>
      <c r="P1307" s="7" t="s">
        <v>1241</v>
      </c>
      <c r="Q1307" s="13" t="str">
        <f>INDEX($L:$L, MATCH("territory", $B:$B, 0))</f>
        <v>&lt;span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v>
      </c>
      <c r="AU1307" s="15"/>
      <c r="AV1307" s="1" t="s">
        <v>38</v>
      </c>
      <c r="BG1307" s="7" t="s">
        <v>1242</v>
      </c>
      <c r="BH1307" s="1" t="s">
        <v>1947</v>
      </c>
      <c r="BI1307" s="2" t="s">
        <v>6449</v>
      </c>
      <c r="BJ1307" s="1" t="s">
        <v>1877</v>
      </c>
      <c r="BK1307" s="2" t="s">
        <v>6450</v>
      </c>
    </row>
    <row r="1308" spans="1:67" ht="90" x14ac:dyDescent="0.45">
      <c r="A1308" s="5">
        <v>1307</v>
      </c>
      <c r="B1308" s="8" t="s">
        <v>1044</v>
      </c>
      <c r="C1308" s="6" t="s">
        <v>1816</v>
      </c>
      <c r="D1308" s="7" t="s">
        <v>9794</v>
      </c>
      <c r="E1308" s="1" t="s">
        <v>1044</v>
      </c>
      <c r="F1308" s="1"/>
      <c r="G1308" s="1"/>
      <c r="J1308" s="1" t="s">
        <v>9795</v>
      </c>
      <c r="L1308" s="2" t="s">
        <v>9835</v>
      </c>
      <c r="P1308" s="7" t="s">
        <v>5038</v>
      </c>
      <c r="Q1308" s="13" t="str">
        <f>INDEX($L:$L, MATCH("violent", $B:$B, 0))</f>
        <v>&lt;span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v>
      </c>
      <c r="AU1308" s="15"/>
      <c r="AV1308" s="1" t="s">
        <v>38</v>
      </c>
      <c r="BG1308" s="7" t="s">
        <v>1242</v>
      </c>
      <c r="BH1308" s="1" t="s">
        <v>1947</v>
      </c>
      <c r="BI1308" s="2" t="s">
        <v>6451</v>
      </c>
      <c r="BJ1308" s="1" t="s">
        <v>1875</v>
      </c>
      <c r="BK1308" s="2" t="s">
        <v>6452</v>
      </c>
    </row>
    <row r="1309" spans="1:67" ht="126" x14ac:dyDescent="0.45">
      <c r="A1309" s="5">
        <v>1308</v>
      </c>
      <c r="B1309" s="8" t="s">
        <v>1045</v>
      </c>
      <c r="C1309" s="6" t="s">
        <v>1816</v>
      </c>
      <c r="D1309" s="7" t="s">
        <v>9794</v>
      </c>
      <c r="E1309" s="1" t="s">
        <v>5886</v>
      </c>
      <c r="F1309" s="1" t="s">
        <v>1751</v>
      </c>
      <c r="G1309" s="1"/>
      <c r="J1309" s="1" t="s">
        <v>9795</v>
      </c>
      <c r="L1309" s="3" t="s">
        <v>9836</v>
      </c>
      <c r="M1309" s="1" t="s">
        <v>12205</v>
      </c>
      <c r="P1309" s="7" t="s">
        <v>1241</v>
      </c>
      <c r="Q1309" s="13"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R1309" s="13"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S1309" s="13"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AU1309" s="15"/>
      <c r="AV1309" s="1" t="s">
        <v>38</v>
      </c>
      <c r="BG1309" s="7" t="s">
        <v>1242</v>
      </c>
      <c r="BH1309" s="1" t="s">
        <v>1947</v>
      </c>
      <c r="BI1309" s="2" t="s">
        <v>6453</v>
      </c>
      <c r="BJ1309" s="1" t="s">
        <v>1875</v>
      </c>
      <c r="BK1309" s="2" t="s">
        <v>6454</v>
      </c>
      <c r="BL1309" s="1" t="s">
        <v>1877</v>
      </c>
      <c r="BM1309" s="2" t="s">
        <v>6455</v>
      </c>
    </row>
    <row r="1310" spans="1:67" ht="144" x14ac:dyDescent="0.45">
      <c r="A1310" s="5">
        <v>1309</v>
      </c>
      <c r="B1310" s="8" t="s">
        <v>1046</v>
      </c>
      <c r="C1310" s="6" t="s">
        <v>1816</v>
      </c>
      <c r="D1310" s="7" t="s">
        <v>9794</v>
      </c>
      <c r="E1310" s="1" t="s">
        <v>1327</v>
      </c>
      <c r="F1310" s="1" t="s">
        <v>6456</v>
      </c>
      <c r="G1310" s="1"/>
      <c r="J1310" s="1" t="s">
        <v>9795</v>
      </c>
      <c r="L1310" s="3" t="s">
        <v>10385</v>
      </c>
      <c r="M1310" s="1" t="s">
        <v>12258</v>
      </c>
      <c r="P1310" s="7" t="s">
        <v>1241</v>
      </c>
      <c r="Q1310" s="13"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AU1310" s="15"/>
      <c r="AV1310" s="1" t="s">
        <v>38</v>
      </c>
      <c r="BG1310" s="7" t="s">
        <v>1242</v>
      </c>
      <c r="BH1310" s="1" t="s">
        <v>1947</v>
      </c>
      <c r="BI1310" s="2" t="s">
        <v>9837</v>
      </c>
      <c r="BJ1310" s="1" t="s">
        <v>1959</v>
      </c>
      <c r="BK1310" s="1" t="s">
        <v>6457</v>
      </c>
      <c r="BL1310" s="1" t="s">
        <v>1875</v>
      </c>
      <c r="BM1310" s="2" t="s">
        <v>6458</v>
      </c>
    </row>
    <row r="1311" spans="1:67" ht="180" x14ac:dyDescent="0.45">
      <c r="A1311" s="5">
        <v>1310</v>
      </c>
      <c r="B1311" s="8" t="s">
        <v>1047</v>
      </c>
      <c r="C1311" s="6" t="s">
        <v>1816</v>
      </c>
      <c r="D1311" s="7" t="s">
        <v>9794</v>
      </c>
      <c r="E1311" s="1" t="s">
        <v>6459</v>
      </c>
      <c r="F1311" s="1" t="s">
        <v>6460</v>
      </c>
      <c r="G1311" s="1"/>
      <c r="J1311" s="1" t="s">
        <v>9795</v>
      </c>
      <c r="L1311" s="2" t="s">
        <v>9838</v>
      </c>
      <c r="P1311" s="7" t="s">
        <v>1241</v>
      </c>
      <c r="Q1311" s="13"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1311" s="13"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1311" s="13"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T1311" s="13"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U1311"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1311"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1311" s="15"/>
      <c r="AV1311" s="1" t="s">
        <v>38</v>
      </c>
      <c r="BG1311" s="7" t="s">
        <v>1242</v>
      </c>
      <c r="BH1311" s="1" t="s">
        <v>1947</v>
      </c>
      <c r="BI1311" s="2" t="s">
        <v>9839</v>
      </c>
      <c r="BJ1311" s="1" t="s">
        <v>1996</v>
      </c>
      <c r="BK1311" s="1" t="s">
        <v>6461</v>
      </c>
      <c r="BL1311" s="1" t="s">
        <v>1877</v>
      </c>
      <c r="BM1311" s="2" t="s">
        <v>9840</v>
      </c>
    </row>
    <row r="1312" spans="1:67" ht="126" x14ac:dyDescent="0.45">
      <c r="A1312" s="5">
        <v>1311</v>
      </c>
      <c r="B1312" s="6" t="s">
        <v>1048</v>
      </c>
      <c r="C1312" s="6" t="s">
        <v>1816</v>
      </c>
      <c r="D1312" s="7" t="s">
        <v>9794</v>
      </c>
      <c r="E1312" s="1" t="s">
        <v>1048</v>
      </c>
      <c r="F1312" s="1"/>
      <c r="G1312" s="1"/>
      <c r="J1312" s="1" t="s">
        <v>9795</v>
      </c>
      <c r="L1312" s="2" t="s">
        <v>9841</v>
      </c>
      <c r="P1312" s="7" t="s">
        <v>1241</v>
      </c>
      <c r="AV1312" s="1" t="s">
        <v>38</v>
      </c>
      <c r="BG1312" s="7" t="s">
        <v>1242</v>
      </c>
      <c r="BH1312" s="1" t="s">
        <v>1872</v>
      </c>
      <c r="BI1312" s="1" t="s">
        <v>6462</v>
      </c>
      <c r="BJ1312" s="1" t="s">
        <v>1875</v>
      </c>
      <c r="BK1312" s="2" t="s">
        <v>6463</v>
      </c>
      <c r="BL1312" s="1" t="s">
        <v>1877</v>
      </c>
      <c r="BM1312" s="2" t="s">
        <v>6464</v>
      </c>
    </row>
    <row r="1313" spans="1:69" ht="90" x14ac:dyDescent="0.45">
      <c r="A1313" s="5">
        <v>1312</v>
      </c>
      <c r="B1313" s="6" t="s">
        <v>1049</v>
      </c>
      <c r="C1313" s="6" t="s">
        <v>1816</v>
      </c>
      <c r="D1313" s="7" t="s">
        <v>9794</v>
      </c>
      <c r="E1313" s="1" t="s">
        <v>1049</v>
      </c>
      <c r="F1313" s="1"/>
      <c r="G1313" s="1"/>
      <c r="J1313" s="1" t="s">
        <v>9795</v>
      </c>
      <c r="K1313" s="1" t="s">
        <v>6465</v>
      </c>
      <c r="L1313" s="2" t="s">
        <v>9842</v>
      </c>
      <c r="M1313" s="1" t="s">
        <v>12186</v>
      </c>
      <c r="P1313" s="7" t="s">
        <v>1241</v>
      </c>
      <c r="Q1313" s="13" t="str">
        <f>INDEX($L:$L, MATCH("flow", $B:$B, 0))</f>
        <v>&lt;span class="w"&gt;&lt;b&gt;【334.flow：流れる, 生じる】&lt;/b&gt;&lt;/span&gt;
&lt;span class="ml"&gt;印欧祖語*pleu-（流れる, 流動する）に由来する。
&lt;span class="spacer"&gt;&lt;/span&gt;印欧祖語から意味の変化はほとんどない。&lt;/span&gt;</v>
      </c>
      <c r="R1313" s="13"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S1313" s="13"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T1313" s="13"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U1313" s="13"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AV1313" s="1" t="s">
        <v>38</v>
      </c>
      <c r="BG1313" s="7" t="s">
        <v>1242</v>
      </c>
      <c r="BH1313" s="1" t="s">
        <v>1976</v>
      </c>
      <c r="BI1313" s="1" t="s">
        <v>6466</v>
      </c>
      <c r="BJ1313" s="1" t="s">
        <v>1872</v>
      </c>
      <c r="BK1313" s="1" t="s">
        <v>6467</v>
      </c>
    </row>
    <row r="1314" spans="1:69" ht="108" x14ac:dyDescent="0.45">
      <c r="A1314" s="5">
        <v>1313</v>
      </c>
      <c r="B1314" s="6" t="s">
        <v>1050</v>
      </c>
      <c r="C1314" s="6" t="s">
        <v>1816</v>
      </c>
      <c r="D1314" s="7" t="s">
        <v>9794</v>
      </c>
      <c r="E1314" s="1" t="s">
        <v>1050</v>
      </c>
      <c r="F1314" s="1"/>
      <c r="G1314" s="1"/>
      <c r="J1314" s="1" t="s">
        <v>9795</v>
      </c>
      <c r="K1314" s="1" t="s">
        <v>6468</v>
      </c>
      <c r="L1314" s="2" t="s">
        <v>9843</v>
      </c>
      <c r="P1314" s="7" t="s">
        <v>1241</v>
      </c>
      <c r="AV1314" s="1" t="s">
        <v>38</v>
      </c>
      <c r="BG1314" s="7" t="s">
        <v>1242</v>
      </c>
      <c r="BH1314" s="1" t="s">
        <v>1872</v>
      </c>
      <c r="BI1314" s="1" t="s">
        <v>6469</v>
      </c>
      <c r="BJ1314" s="1" t="s">
        <v>1877</v>
      </c>
      <c r="BK1314" s="2" t="s">
        <v>6470</v>
      </c>
    </row>
    <row r="1315" spans="1:69" ht="90" x14ac:dyDescent="0.45">
      <c r="A1315" s="5">
        <v>1314</v>
      </c>
      <c r="B1315" s="6" t="s">
        <v>1051</v>
      </c>
      <c r="C1315" s="6" t="s">
        <v>1816</v>
      </c>
      <c r="D1315" s="7" t="s">
        <v>9794</v>
      </c>
      <c r="E1315" s="1" t="s">
        <v>1051</v>
      </c>
      <c r="F1315" s="1"/>
      <c r="G1315" s="1"/>
      <c r="J1315" s="1" t="s">
        <v>9795</v>
      </c>
      <c r="L1315" s="2" t="s">
        <v>9844</v>
      </c>
      <c r="P1315" s="7" t="s">
        <v>1241</v>
      </c>
      <c r="AV1315" s="1" t="s">
        <v>38</v>
      </c>
      <c r="BG1315" s="7" t="s">
        <v>1242</v>
      </c>
      <c r="BH1315" s="1" t="s">
        <v>1872</v>
      </c>
      <c r="BI1315" s="1" t="s">
        <v>6471</v>
      </c>
      <c r="BJ1315" s="1" t="s">
        <v>1875</v>
      </c>
      <c r="BK1315" s="1" t="s">
        <v>6472</v>
      </c>
    </row>
    <row r="1316" spans="1:69" ht="180" x14ac:dyDescent="0.45">
      <c r="A1316" s="5">
        <v>1315</v>
      </c>
      <c r="B1316" s="8" t="s">
        <v>1052</v>
      </c>
      <c r="C1316" s="6" t="s">
        <v>1816</v>
      </c>
      <c r="D1316" s="7" t="s">
        <v>9794</v>
      </c>
      <c r="E1316" s="1" t="s">
        <v>1327</v>
      </c>
      <c r="F1316" s="1" t="s">
        <v>6473</v>
      </c>
      <c r="G1316" s="1"/>
      <c r="J1316" s="1" t="s">
        <v>9795</v>
      </c>
      <c r="L1316" s="3" t="s">
        <v>9845</v>
      </c>
      <c r="M1316" s="1" t="s">
        <v>12226</v>
      </c>
      <c r="P1316" s="7" t="s">
        <v>1241</v>
      </c>
      <c r="Q1316"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316"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316"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316"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316"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316"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316"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316"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1316"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1316"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1316"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1316"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316"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316"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316"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1316" s="15"/>
      <c r="AV1316" s="1" t="s">
        <v>38</v>
      </c>
      <c r="BG1316" s="7" t="s">
        <v>1242</v>
      </c>
      <c r="BH1316" s="1" t="s">
        <v>1947</v>
      </c>
      <c r="BI1316" s="2" t="s">
        <v>6474</v>
      </c>
      <c r="BJ1316" s="1" t="s">
        <v>1877</v>
      </c>
      <c r="BK1316" s="2" t="s">
        <v>6475</v>
      </c>
    </row>
    <row r="1317" spans="1:69" ht="162" x14ac:dyDescent="0.45">
      <c r="A1317" s="5">
        <v>1316</v>
      </c>
      <c r="B1317" s="8" t="s">
        <v>1053</v>
      </c>
      <c r="C1317" s="6" t="s">
        <v>1816</v>
      </c>
      <c r="D1317" s="7" t="s">
        <v>9794</v>
      </c>
      <c r="E1317" s="1" t="s">
        <v>46</v>
      </c>
      <c r="F1317" s="1" t="s">
        <v>1410</v>
      </c>
      <c r="G1317" s="1"/>
      <c r="J1317" s="1" t="s">
        <v>9795</v>
      </c>
      <c r="L1317" s="3" t="s">
        <v>9846</v>
      </c>
      <c r="M1317" s="1" t="s">
        <v>12227</v>
      </c>
      <c r="P1317" s="7" t="s">
        <v>1241</v>
      </c>
      <c r="Q1317" s="13"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R1317" s="13"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S1317" s="13"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T1317" s="13"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AU1317" s="15"/>
      <c r="AV1317" s="1" t="s">
        <v>38</v>
      </c>
      <c r="BG1317" s="7" t="s">
        <v>1242</v>
      </c>
      <c r="BH1317" s="1" t="s">
        <v>1947</v>
      </c>
      <c r="BI1317" s="2" t="s">
        <v>6476</v>
      </c>
      <c r="BJ1317" s="1" t="s">
        <v>1967</v>
      </c>
      <c r="BK1317" s="1" t="s">
        <v>6477</v>
      </c>
      <c r="BL1317" s="1" t="s">
        <v>1959</v>
      </c>
      <c r="BM1317" s="1" t="s">
        <v>6478</v>
      </c>
      <c r="BN1317" s="1" t="s">
        <v>1877</v>
      </c>
      <c r="BO1317" s="2" t="s">
        <v>6479</v>
      </c>
    </row>
    <row r="1318" spans="1:69" ht="108" x14ac:dyDescent="0.45">
      <c r="A1318" s="5">
        <v>1317</v>
      </c>
      <c r="B1318" s="6" t="s">
        <v>1054</v>
      </c>
      <c r="C1318" s="6" t="s">
        <v>1816</v>
      </c>
      <c r="D1318" s="7" t="s">
        <v>9794</v>
      </c>
      <c r="E1318" s="1" t="s">
        <v>1054</v>
      </c>
      <c r="F1318" s="1"/>
      <c r="G1318" s="1"/>
      <c r="J1318" s="1" t="s">
        <v>9795</v>
      </c>
      <c r="L1318" s="2" t="s">
        <v>9847</v>
      </c>
      <c r="P1318" s="7" t="s">
        <v>1241</v>
      </c>
      <c r="AV1318" s="1" t="s">
        <v>38</v>
      </c>
      <c r="BG1318" s="7" t="s">
        <v>1242</v>
      </c>
      <c r="BH1318" s="1" t="s">
        <v>1872</v>
      </c>
      <c r="BI1318" s="1" t="s">
        <v>6480</v>
      </c>
      <c r="BJ1318" s="1" t="s">
        <v>1875</v>
      </c>
      <c r="BK1318" s="1" t="s">
        <v>6481</v>
      </c>
      <c r="BL1318" s="1" t="s">
        <v>1877</v>
      </c>
      <c r="BM1318" s="2" t="s">
        <v>6482</v>
      </c>
    </row>
    <row r="1319" spans="1:69" ht="108" x14ac:dyDescent="0.45">
      <c r="A1319" s="5">
        <v>1318</v>
      </c>
      <c r="B1319" s="6" t="s">
        <v>1055</v>
      </c>
      <c r="C1319" s="6" t="s">
        <v>1816</v>
      </c>
      <c r="D1319" s="7" t="s">
        <v>9794</v>
      </c>
      <c r="E1319" s="1" t="s">
        <v>31</v>
      </c>
      <c r="F1319" s="1" t="s">
        <v>6483</v>
      </c>
      <c r="G1319" s="1"/>
      <c r="J1319" s="1" t="s">
        <v>9795</v>
      </c>
      <c r="L1319" s="2" t="s">
        <v>9848</v>
      </c>
      <c r="P1319" s="7" t="s">
        <v>1241</v>
      </c>
      <c r="AU1319" s="15"/>
      <c r="AV1319" s="1" t="s">
        <v>38</v>
      </c>
      <c r="BG1319" s="7" t="s">
        <v>1242</v>
      </c>
      <c r="BH1319" s="1" t="s">
        <v>1947</v>
      </c>
      <c r="BI1319" s="2" t="s">
        <v>6484</v>
      </c>
      <c r="BJ1319" s="1" t="s">
        <v>2036</v>
      </c>
      <c r="BK1319" s="1" t="s">
        <v>6485</v>
      </c>
      <c r="BL1319" s="1" t="s">
        <v>1959</v>
      </c>
      <c r="BM1319" s="2" t="s">
        <v>6486</v>
      </c>
      <c r="BN1319" s="1" t="s">
        <v>1875</v>
      </c>
      <c r="BO1319" s="2" t="s">
        <v>6487</v>
      </c>
    </row>
    <row r="1320" spans="1:69" ht="144" x14ac:dyDescent="0.45">
      <c r="A1320" s="5">
        <v>1319</v>
      </c>
      <c r="B1320" s="6" t="s">
        <v>1056</v>
      </c>
      <c r="C1320" s="6" t="s">
        <v>1816</v>
      </c>
      <c r="D1320" s="7" t="s">
        <v>9794</v>
      </c>
      <c r="E1320" s="1" t="s">
        <v>1327</v>
      </c>
      <c r="F1320" s="1" t="s">
        <v>6488</v>
      </c>
      <c r="G1320" s="1"/>
      <c r="J1320" s="1" t="s">
        <v>9795</v>
      </c>
      <c r="L1320" s="2" t="s">
        <v>9849</v>
      </c>
      <c r="P1320" s="7" t="s">
        <v>1241</v>
      </c>
      <c r="AU1320" s="15"/>
      <c r="AV1320" s="1" t="s">
        <v>38</v>
      </c>
      <c r="BG1320" s="7" t="s">
        <v>1242</v>
      </c>
      <c r="BH1320" s="1" t="s">
        <v>1947</v>
      </c>
      <c r="BI1320" s="2" t="s">
        <v>6489</v>
      </c>
      <c r="BJ1320" s="1" t="s">
        <v>1875</v>
      </c>
      <c r="BK1320" s="2" t="s">
        <v>6490</v>
      </c>
    </row>
    <row r="1321" spans="1:69" ht="162" x14ac:dyDescent="0.45">
      <c r="A1321" s="5">
        <v>1320</v>
      </c>
      <c r="B1321" s="6" t="s">
        <v>1057</v>
      </c>
      <c r="C1321" s="6" t="s">
        <v>1816</v>
      </c>
      <c r="D1321" s="7" t="s">
        <v>9794</v>
      </c>
      <c r="E1321" s="1" t="s">
        <v>1660</v>
      </c>
      <c r="F1321" s="1" t="s">
        <v>1856</v>
      </c>
      <c r="G1321" s="1"/>
      <c r="J1321" s="1" t="s">
        <v>9795</v>
      </c>
      <c r="L1321" s="2" t="s">
        <v>9850</v>
      </c>
      <c r="P1321" s="7" t="s">
        <v>1241</v>
      </c>
      <c r="Q1321" s="13" t="str">
        <f>INDEX($L:$L, MATCH("deadline", $B:$B, 0))</f>
        <v>&lt;span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v>
      </c>
      <c r="AU1321" s="15"/>
      <c r="AV1321" s="1" t="s">
        <v>38</v>
      </c>
      <c r="BG1321" s="7" t="s">
        <v>1242</v>
      </c>
      <c r="BH1321" s="1" t="s">
        <v>1877</v>
      </c>
      <c r="BI1321" s="2" t="s">
        <v>6491</v>
      </c>
    </row>
    <row r="1322" spans="1:69" ht="198" x14ac:dyDescent="0.45">
      <c r="A1322" s="5">
        <v>1321</v>
      </c>
      <c r="B1322" s="6" t="s">
        <v>1058</v>
      </c>
      <c r="C1322" s="6" t="s">
        <v>1816</v>
      </c>
      <c r="D1322" s="7" t="s">
        <v>9794</v>
      </c>
      <c r="E1322" s="1" t="s">
        <v>1058</v>
      </c>
      <c r="F1322" s="1"/>
      <c r="G1322" s="1"/>
      <c r="J1322" s="1" t="s">
        <v>9795</v>
      </c>
      <c r="L1322" s="3" t="s">
        <v>9851</v>
      </c>
      <c r="P1322" s="7" t="s">
        <v>1241</v>
      </c>
      <c r="AV1322" s="1" t="s">
        <v>38</v>
      </c>
      <c r="BG1322" s="7" t="s">
        <v>1242</v>
      </c>
      <c r="BH1322" s="1" t="s">
        <v>1872</v>
      </c>
      <c r="BI1322" s="1" t="s">
        <v>6492</v>
      </c>
      <c r="BJ1322" s="1" t="s">
        <v>1875</v>
      </c>
      <c r="BK1322" s="2" t="s">
        <v>6493</v>
      </c>
      <c r="BL1322" s="1" t="s">
        <v>1877</v>
      </c>
      <c r="BM1322" s="2" t="s">
        <v>6494</v>
      </c>
    </row>
    <row r="1323" spans="1:69" ht="144" x14ac:dyDescent="0.45">
      <c r="A1323" s="5">
        <v>1322</v>
      </c>
      <c r="B1323" s="8" t="s">
        <v>1059</v>
      </c>
      <c r="C1323" s="6" t="s">
        <v>1816</v>
      </c>
      <c r="D1323" s="7" t="s">
        <v>9794</v>
      </c>
      <c r="E1323" s="1" t="s">
        <v>1454</v>
      </c>
      <c r="F1323" s="1" t="s">
        <v>1614</v>
      </c>
      <c r="G1323" s="1"/>
      <c r="J1323" s="1" t="s">
        <v>9795</v>
      </c>
      <c r="L1323" s="3" t="s">
        <v>9852</v>
      </c>
      <c r="M1323" s="1" t="s">
        <v>12257</v>
      </c>
      <c r="P1323" s="7" t="s">
        <v>1241</v>
      </c>
      <c r="Q1323" s="13"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323" s="13"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S1323" s="13"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T1323" s="13"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U1323" s="13"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AU1323" s="15"/>
      <c r="AV1323" s="1" t="s">
        <v>38</v>
      </c>
      <c r="BG1323" s="7" t="s">
        <v>1242</v>
      </c>
      <c r="BH1323" s="1" t="s">
        <v>1947</v>
      </c>
      <c r="BI1323" s="2" t="s">
        <v>6495</v>
      </c>
      <c r="BJ1323" s="1" t="s">
        <v>1877</v>
      </c>
      <c r="BK1323" s="2" t="s">
        <v>6496</v>
      </c>
    </row>
    <row r="1324" spans="1:69" ht="126" x14ac:dyDescent="0.45">
      <c r="A1324" s="5">
        <v>1323</v>
      </c>
      <c r="B1324" s="6" t="s">
        <v>1060</v>
      </c>
      <c r="C1324" s="6" t="s">
        <v>1816</v>
      </c>
      <c r="D1324" s="7" t="s">
        <v>9794</v>
      </c>
      <c r="E1324" s="1" t="s">
        <v>1251</v>
      </c>
      <c r="F1324" s="1" t="s">
        <v>6497</v>
      </c>
      <c r="G1324" s="1"/>
      <c r="J1324" s="1" t="s">
        <v>9795</v>
      </c>
      <c r="K1324" s="1" t="s">
        <v>6498</v>
      </c>
      <c r="L1324" s="2" t="s">
        <v>9853</v>
      </c>
      <c r="P1324" s="7" t="s">
        <v>1241</v>
      </c>
      <c r="Q1324" s="13" t="str">
        <f>INDEX($L:$L, MATCH("novel", $B:$B, 0))</f>
        <v>&lt;span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v>
      </c>
      <c r="R1324" s="13" t="str">
        <f>INDEX($L:$L, MATCH("innovation", $B:$B, 0))</f>
        <v>&lt;span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v>
      </c>
      <c r="AU1324" s="15"/>
      <c r="AV1324" s="1" t="s">
        <v>38</v>
      </c>
      <c r="BG1324" s="7" t="s">
        <v>1242</v>
      </c>
      <c r="BH1324" s="1" t="s">
        <v>1875</v>
      </c>
      <c r="BI1324" s="2" t="s">
        <v>6499</v>
      </c>
    </row>
    <row r="1325" spans="1:69" ht="180" x14ac:dyDescent="0.45">
      <c r="A1325" s="5">
        <v>1324</v>
      </c>
      <c r="B1325" s="8" t="s">
        <v>1061</v>
      </c>
      <c r="C1325" s="6" t="s">
        <v>1816</v>
      </c>
      <c r="D1325" s="7" t="s">
        <v>9794</v>
      </c>
      <c r="E1325" s="1" t="s">
        <v>6227</v>
      </c>
      <c r="F1325" s="1" t="s">
        <v>1607</v>
      </c>
      <c r="G1325" s="1" t="s">
        <v>1519</v>
      </c>
      <c r="J1325" s="1" t="s">
        <v>9795</v>
      </c>
      <c r="L1325" s="2" t="s">
        <v>9854</v>
      </c>
      <c r="M1325" s="1" t="s">
        <v>12270</v>
      </c>
      <c r="P1325" s="7" t="s">
        <v>1241</v>
      </c>
      <c r="Q1325" s="13"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1325" s="13" t="str">
        <f>INDEX($L:$L, MATCH("abuse", $B:$B, 0))</f>
        <v>&lt;span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v>
      </c>
      <c r="S1325" s="13" t="str">
        <f>INDEX($L:$L, MATCH("utility", $B:$B, 0))</f>
        <v>&lt;span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v>
      </c>
      <c r="AU1325" s="15"/>
      <c r="AV1325" s="1" t="s">
        <v>38</v>
      </c>
      <c r="BG1325" s="7" t="s">
        <v>1242</v>
      </c>
      <c r="BH1325" s="1" t="s">
        <v>1947</v>
      </c>
      <c r="BI1325" s="2" t="s">
        <v>6500</v>
      </c>
      <c r="BJ1325" s="1" t="s">
        <v>6501</v>
      </c>
      <c r="BK1325" s="1" t="s">
        <v>6502</v>
      </c>
      <c r="BL1325" s="1" t="s">
        <v>1994</v>
      </c>
      <c r="BM1325" s="1" t="s">
        <v>6503</v>
      </c>
      <c r="BN1325" s="1" t="s">
        <v>1996</v>
      </c>
      <c r="BO1325" s="1" t="s">
        <v>6504</v>
      </c>
      <c r="BP1325" s="1" t="s">
        <v>1877</v>
      </c>
      <c r="BQ1325" s="2" t="s">
        <v>6505</v>
      </c>
    </row>
    <row r="1326" spans="1:69" ht="234" x14ac:dyDescent="0.45">
      <c r="A1326" s="5">
        <v>1325</v>
      </c>
      <c r="B1326" s="8" t="s">
        <v>1062</v>
      </c>
      <c r="C1326" s="6" t="s">
        <v>1816</v>
      </c>
      <c r="D1326" s="7" t="s">
        <v>9794</v>
      </c>
      <c r="E1326" s="1" t="s">
        <v>1392</v>
      </c>
      <c r="F1326" s="1" t="s">
        <v>1511</v>
      </c>
      <c r="G1326" s="1"/>
      <c r="J1326" s="1" t="s">
        <v>9795</v>
      </c>
      <c r="L1326" s="2" t="s">
        <v>9855</v>
      </c>
      <c r="P1326" s="7" t="s">
        <v>1241</v>
      </c>
      <c r="Q1326" s="13"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AU1326" s="15"/>
      <c r="AV1326" s="1" t="s">
        <v>38</v>
      </c>
      <c r="BG1326" s="7" t="s">
        <v>1242</v>
      </c>
      <c r="BH1326" s="1" t="s">
        <v>1947</v>
      </c>
      <c r="BI1326" s="2" t="s">
        <v>6506</v>
      </c>
      <c r="BJ1326" s="1" t="s">
        <v>1877</v>
      </c>
      <c r="BK1326" s="2" t="s">
        <v>6507</v>
      </c>
    </row>
    <row r="1327" spans="1:69" ht="180" x14ac:dyDescent="0.45">
      <c r="A1327" s="5">
        <v>1326</v>
      </c>
      <c r="B1327" s="8" t="s">
        <v>1063</v>
      </c>
      <c r="C1327" s="6" t="s">
        <v>1816</v>
      </c>
      <c r="D1327" s="7" t="s">
        <v>9794</v>
      </c>
      <c r="E1327" s="1" t="s">
        <v>1063</v>
      </c>
      <c r="F1327" s="1"/>
      <c r="G1327" s="1"/>
      <c r="J1327" s="1" t="s">
        <v>9795</v>
      </c>
      <c r="L1327" s="2" t="s">
        <v>12131</v>
      </c>
      <c r="M1327" s="1" t="s">
        <v>12221</v>
      </c>
      <c r="P1327" s="7" t="s">
        <v>1241</v>
      </c>
      <c r="Q1327" s="13"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1327" s="13"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S1327" s="13"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T1327" s="13"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U1327" s="13"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AV1327" s="1" t="s">
        <v>38</v>
      </c>
      <c r="BG1327" s="7" t="s">
        <v>1242</v>
      </c>
      <c r="BH1327" s="1" t="s">
        <v>1947</v>
      </c>
      <c r="BI1327" s="1" t="s">
        <v>6508</v>
      </c>
      <c r="BJ1327" s="1" t="s">
        <v>1959</v>
      </c>
      <c r="BK1327" s="1" t="s">
        <v>6509</v>
      </c>
      <c r="BL1327" s="1" t="s">
        <v>1875</v>
      </c>
      <c r="BM1327" s="2" t="s">
        <v>6510</v>
      </c>
    </row>
    <row r="1328" spans="1:69" ht="108" x14ac:dyDescent="0.45">
      <c r="A1328" s="5">
        <v>1327</v>
      </c>
      <c r="B1328" s="6" t="s">
        <v>1064</v>
      </c>
      <c r="C1328" s="6" t="s">
        <v>1816</v>
      </c>
      <c r="D1328" s="7" t="s">
        <v>9794</v>
      </c>
      <c r="E1328" s="6" t="s">
        <v>1064</v>
      </c>
      <c r="F1328" s="1"/>
      <c r="G1328" s="1"/>
      <c r="J1328" s="1" t="s">
        <v>9795</v>
      </c>
      <c r="L1328" s="2" t="s">
        <v>9856</v>
      </c>
      <c r="P1328" s="7" t="s">
        <v>1241</v>
      </c>
      <c r="AU1328" s="15"/>
      <c r="AV1328" s="1" t="s">
        <v>38</v>
      </c>
      <c r="BG1328" s="7" t="s">
        <v>1242</v>
      </c>
      <c r="BH1328" s="1" t="s">
        <v>1959</v>
      </c>
      <c r="BI1328" s="2" t="s">
        <v>6511</v>
      </c>
      <c r="BJ1328" s="1" t="s">
        <v>1875</v>
      </c>
      <c r="BK1328" s="2" t="s">
        <v>6512</v>
      </c>
    </row>
    <row r="1329" spans="1:67" ht="324" x14ac:dyDescent="0.45">
      <c r="A1329" s="5">
        <v>1328</v>
      </c>
      <c r="B1329" s="6" t="s">
        <v>1065</v>
      </c>
      <c r="C1329" s="6" t="s">
        <v>1816</v>
      </c>
      <c r="D1329" s="7" t="s">
        <v>9794</v>
      </c>
      <c r="E1329" s="1" t="s">
        <v>1065</v>
      </c>
      <c r="F1329" s="1"/>
      <c r="G1329" s="1"/>
      <c r="J1329" s="1" t="s">
        <v>9795</v>
      </c>
      <c r="L1329" s="2" t="s">
        <v>9857</v>
      </c>
      <c r="P1329" s="7" t="s">
        <v>1241</v>
      </c>
      <c r="AV1329" s="1" t="s">
        <v>38</v>
      </c>
      <c r="BG1329" s="7" t="s">
        <v>1242</v>
      </c>
      <c r="BH1329" s="1" t="s">
        <v>1872</v>
      </c>
      <c r="BI1329" s="1" t="s">
        <v>6513</v>
      </c>
      <c r="BJ1329" s="1" t="s">
        <v>1875</v>
      </c>
      <c r="BK1329" s="2" t="s">
        <v>6514</v>
      </c>
      <c r="BL1329" s="1" t="s">
        <v>1877</v>
      </c>
      <c r="BM1329" s="2" t="s">
        <v>9858</v>
      </c>
    </row>
    <row r="1330" spans="1:67" ht="198" x14ac:dyDescent="0.45">
      <c r="A1330" s="5">
        <v>1329</v>
      </c>
      <c r="B1330" s="6" t="s">
        <v>1066</v>
      </c>
      <c r="C1330" s="6" t="s">
        <v>1816</v>
      </c>
      <c r="D1330" s="7" t="s">
        <v>9794</v>
      </c>
      <c r="E1330" s="1" t="s">
        <v>1066</v>
      </c>
      <c r="F1330" s="1"/>
      <c r="G1330" s="1"/>
      <c r="J1330" s="1" t="s">
        <v>9795</v>
      </c>
      <c r="L1330" s="3" t="s">
        <v>9859</v>
      </c>
      <c r="P1330" s="7" t="s">
        <v>1241</v>
      </c>
      <c r="AV1330" s="1" t="s">
        <v>38</v>
      </c>
      <c r="BG1330" s="7" t="s">
        <v>1242</v>
      </c>
      <c r="BH1330" s="1" t="s">
        <v>9860</v>
      </c>
      <c r="BI1330" s="1" t="s">
        <v>9861</v>
      </c>
      <c r="BJ1330" s="1" t="s">
        <v>2114</v>
      </c>
      <c r="BK1330" s="1" t="s">
        <v>6515</v>
      </c>
      <c r="BL1330" s="1" t="s">
        <v>1875</v>
      </c>
      <c r="BM1330" s="2" t="s">
        <v>6516</v>
      </c>
      <c r="BN1330" s="1" t="s">
        <v>1877</v>
      </c>
      <c r="BO1330" s="2" t="s">
        <v>6517</v>
      </c>
    </row>
    <row r="1331" spans="1:67" ht="234" x14ac:dyDescent="0.45">
      <c r="A1331" s="5">
        <v>1330</v>
      </c>
      <c r="B1331" s="6" t="s">
        <v>1067</v>
      </c>
      <c r="C1331" s="6" t="s">
        <v>1816</v>
      </c>
      <c r="D1331" s="7" t="s">
        <v>9794</v>
      </c>
      <c r="E1331" s="1" t="s">
        <v>6518</v>
      </c>
      <c r="F1331" s="1" t="s">
        <v>1635</v>
      </c>
      <c r="G1331" s="1"/>
      <c r="J1331" s="1" t="s">
        <v>9795</v>
      </c>
      <c r="L1331" s="3" t="s">
        <v>9862</v>
      </c>
      <c r="P1331" s="7" t="s">
        <v>1241</v>
      </c>
      <c r="AU1331" s="15"/>
      <c r="AV1331" s="1" t="s">
        <v>38</v>
      </c>
      <c r="BG1331" s="7" t="s">
        <v>1242</v>
      </c>
      <c r="BH1331" s="1" t="s">
        <v>1872</v>
      </c>
      <c r="BI1331" s="2" t="s">
        <v>6519</v>
      </c>
      <c r="BJ1331" s="1" t="s">
        <v>1875</v>
      </c>
      <c r="BK1331" s="2" t="s">
        <v>6520</v>
      </c>
      <c r="BL1331" s="1" t="s">
        <v>1877</v>
      </c>
      <c r="BM1331" s="2" t="s">
        <v>6521</v>
      </c>
    </row>
    <row r="1332" spans="1:67" ht="162" x14ac:dyDescent="0.45">
      <c r="A1332" s="5">
        <v>1331</v>
      </c>
      <c r="B1332" s="6" t="s">
        <v>1068</v>
      </c>
      <c r="C1332" s="6" t="s">
        <v>1816</v>
      </c>
      <c r="D1332" s="7" t="s">
        <v>9794</v>
      </c>
      <c r="E1332" s="1" t="s">
        <v>1249</v>
      </c>
      <c r="F1332" s="1" t="s">
        <v>6522</v>
      </c>
      <c r="G1332" s="1"/>
      <c r="J1332" s="1" t="s">
        <v>9795</v>
      </c>
      <c r="L1332" s="2" t="s">
        <v>9863</v>
      </c>
      <c r="P1332" s="7" t="s">
        <v>1241</v>
      </c>
      <c r="Q1332" s="13" t="str">
        <f>INDEX($L:$L, MATCH("defend", $B:$B, 0))</f>
        <v>&lt;span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v>
      </c>
      <c r="AU1332" s="15"/>
      <c r="AV1332" s="1" t="s">
        <v>38</v>
      </c>
      <c r="BG1332" s="7" t="s">
        <v>1242</v>
      </c>
      <c r="BH1332" s="1" t="s">
        <v>1947</v>
      </c>
      <c r="BI1332" s="2" t="s">
        <v>6523</v>
      </c>
      <c r="BJ1332" s="1" t="s">
        <v>1959</v>
      </c>
      <c r="BK1332" s="1" t="s">
        <v>6524</v>
      </c>
      <c r="BL1332" s="1" t="s">
        <v>1875</v>
      </c>
      <c r="BM1332" s="2" t="s">
        <v>6525</v>
      </c>
    </row>
    <row r="1333" spans="1:67" ht="162" x14ac:dyDescent="0.45">
      <c r="A1333" s="5">
        <v>1332</v>
      </c>
      <c r="B1333" s="8" t="s">
        <v>1069</v>
      </c>
      <c r="C1333" s="6" t="s">
        <v>1816</v>
      </c>
      <c r="D1333" s="7" t="s">
        <v>9794</v>
      </c>
      <c r="E1333" s="1" t="s">
        <v>1467</v>
      </c>
      <c r="F1333" s="1" t="s">
        <v>5397</v>
      </c>
      <c r="G1333" s="1"/>
      <c r="J1333" s="1" t="s">
        <v>9795</v>
      </c>
      <c r="K1333" s="1" t="s">
        <v>6526</v>
      </c>
      <c r="L1333" s="2" t="s">
        <v>9864</v>
      </c>
      <c r="M1333" s="1" t="s">
        <v>12218</v>
      </c>
      <c r="P1333" s="7" t="s">
        <v>1241</v>
      </c>
      <c r="Q1333" s="13"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1333" s="13" t="str">
        <f>INDEX($L:$L, MATCH("discount", $B:$B, 0))</f>
        <v>&lt;span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v>
      </c>
      <c r="S1333" s="13"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T1333" s="13"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AU1333" s="15"/>
      <c r="AV1333" s="1" t="s">
        <v>38</v>
      </c>
      <c r="BG1333" s="7" t="s">
        <v>1242</v>
      </c>
      <c r="BH1333" s="1" t="s">
        <v>1947</v>
      </c>
      <c r="BI1333" s="2" t="s">
        <v>6527</v>
      </c>
      <c r="BJ1333" s="1" t="s">
        <v>1996</v>
      </c>
      <c r="BK1333" s="2" t="s">
        <v>6528</v>
      </c>
      <c r="BL1333" s="1" t="s">
        <v>1877</v>
      </c>
      <c r="BM1333" s="2" t="s">
        <v>6529</v>
      </c>
    </row>
    <row r="1334" spans="1:67" ht="234" x14ac:dyDescent="0.45">
      <c r="A1334" s="5">
        <v>1333</v>
      </c>
      <c r="B1334" s="8" t="s">
        <v>1070</v>
      </c>
      <c r="C1334" s="6" t="s">
        <v>1816</v>
      </c>
      <c r="D1334" s="7" t="s">
        <v>9794</v>
      </c>
      <c r="E1334" s="1" t="s">
        <v>1392</v>
      </c>
      <c r="F1334" s="1" t="s">
        <v>4290</v>
      </c>
      <c r="G1334" s="1"/>
      <c r="J1334" s="1" t="s">
        <v>9795</v>
      </c>
      <c r="L1334" s="3" t="s">
        <v>9865</v>
      </c>
      <c r="M1334" s="1" t="s">
        <v>12197</v>
      </c>
      <c r="P1334" s="7" t="s">
        <v>1241</v>
      </c>
      <c r="Q1334" s="13"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R1334" s="13"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S1334" s="13"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AU1334" s="15"/>
      <c r="AV1334" s="1" t="s">
        <v>38</v>
      </c>
      <c r="BG1334" s="7" t="s">
        <v>1242</v>
      </c>
      <c r="BH1334" s="1" t="s">
        <v>1947</v>
      </c>
      <c r="BI1334" s="2" t="s">
        <v>6530</v>
      </c>
      <c r="BJ1334" s="1" t="s">
        <v>1959</v>
      </c>
      <c r="BK1334" s="2" t="s">
        <v>6531</v>
      </c>
      <c r="BL1334" s="1" t="s">
        <v>1875</v>
      </c>
      <c r="BM1334" s="2" t="s">
        <v>6532</v>
      </c>
      <c r="BN1334" s="1" t="s">
        <v>1877</v>
      </c>
      <c r="BO1334" s="2" t="s">
        <v>6533</v>
      </c>
    </row>
    <row r="1335" spans="1:67" ht="108" x14ac:dyDescent="0.45">
      <c r="A1335" s="5">
        <v>1334</v>
      </c>
      <c r="B1335" s="8" t="s">
        <v>1071</v>
      </c>
      <c r="C1335" s="6" t="s">
        <v>1816</v>
      </c>
      <c r="D1335" s="7" t="s">
        <v>9794</v>
      </c>
      <c r="E1335" s="1" t="s">
        <v>6534</v>
      </c>
      <c r="F1335" s="1" t="s">
        <v>1447</v>
      </c>
      <c r="G1335" s="1"/>
      <c r="J1335" s="1" t="s">
        <v>9795</v>
      </c>
      <c r="L1335" s="2" t="s">
        <v>9866</v>
      </c>
      <c r="P1335" s="7" t="s">
        <v>1241</v>
      </c>
      <c r="AU1335" s="15"/>
      <c r="AV1335" s="1" t="s">
        <v>38</v>
      </c>
      <c r="BG1335" s="7" t="s">
        <v>1242</v>
      </c>
      <c r="BH1335" s="1" t="s">
        <v>1875</v>
      </c>
      <c r="BI1335" s="2" t="s">
        <v>6535</v>
      </c>
      <c r="BJ1335" s="1" t="s">
        <v>1877</v>
      </c>
      <c r="BK1335" s="2" t="s">
        <v>6536</v>
      </c>
    </row>
    <row r="1336" spans="1:67" ht="180" x14ac:dyDescent="0.45">
      <c r="A1336" s="5">
        <v>1335</v>
      </c>
      <c r="B1336" s="6" t="s">
        <v>1072</v>
      </c>
      <c r="C1336" s="6" t="s">
        <v>1816</v>
      </c>
      <c r="D1336" s="7" t="s">
        <v>9794</v>
      </c>
      <c r="E1336" s="1" t="s">
        <v>1072</v>
      </c>
      <c r="F1336" s="1"/>
      <c r="G1336" s="1"/>
      <c r="J1336" s="1" t="s">
        <v>9795</v>
      </c>
      <c r="L1336" s="3" t="s">
        <v>9867</v>
      </c>
      <c r="P1336" s="7" t="s">
        <v>1241</v>
      </c>
      <c r="AU1336" s="15"/>
      <c r="AV1336" s="1" t="s">
        <v>38</v>
      </c>
      <c r="BG1336" s="7" t="s">
        <v>1242</v>
      </c>
      <c r="BH1336" s="1" t="s">
        <v>1877</v>
      </c>
      <c r="BI1336" s="2" t="s">
        <v>6537</v>
      </c>
    </row>
    <row r="1337" spans="1:67" ht="144" x14ac:dyDescent="0.45">
      <c r="A1337" s="5">
        <v>1336</v>
      </c>
      <c r="B1337" s="6" t="s">
        <v>1073</v>
      </c>
      <c r="C1337" s="6" t="s">
        <v>1816</v>
      </c>
      <c r="D1337" s="7" t="s">
        <v>9794</v>
      </c>
      <c r="E1337" s="1" t="s">
        <v>1073</v>
      </c>
      <c r="F1337" s="1"/>
      <c r="G1337" s="1"/>
      <c r="J1337" s="1" t="s">
        <v>9795</v>
      </c>
      <c r="L1337" s="3" t="s">
        <v>9868</v>
      </c>
      <c r="P1337" s="7" t="s">
        <v>1241</v>
      </c>
      <c r="AU1337" s="15"/>
      <c r="AV1337" s="1" t="s">
        <v>38</v>
      </c>
      <c r="BG1337" s="7" t="s">
        <v>1242</v>
      </c>
      <c r="BH1337" s="1" t="s">
        <v>1875</v>
      </c>
      <c r="BI1337" s="2" t="s">
        <v>6538</v>
      </c>
    </row>
    <row r="1338" spans="1:67" ht="144" x14ac:dyDescent="0.45">
      <c r="A1338" s="5">
        <v>1337</v>
      </c>
      <c r="B1338" s="6" t="s">
        <v>1074</v>
      </c>
      <c r="C1338" s="6" t="s">
        <v>1816</v>
      </c>
      <c r="D1338" s="7" t="s">
        <v>9794</v>
      </c>
      <c r="E1338" s="1" t="s">
        <v>1327</v>
      </c>
      <c r="F1338" s="1" t="s">
        <v>6539</v>
      </c>
      <c r="G1338" s="1"/>
      <c r="J1338" s="1" t="s">
        <v>9795</v>
      </c>
      <c r="L1338" s="3" t="s">
        <v>9869</v>
      </c>
      <c r="P1338" s="7" t="s">
        <v>1241</v>
      </c>
      <c r="AU1338" s="15"/>
      <c r="AV1338" s="1" t="s">
        <v>38</v>
      </c>
      <c r="BG1338" s="7" t="s">
        <v>1242</v>
      </c>
      <c r="BH1338" s="1" t="s">
        <v>1947</v>
      </c>
      <c r="BI1338" s="2" t="s">
        <v>6540</v>
      </c>
      <c r="BJ1338" s="1" t="s">
        <v>1959</v>
      </c>
      <c r="BK1338" s="2" t="s">
        <v>6541</v>
      </c>
      <c r="BL1338" s="1" t="s">
        <v>1875</v>
      </c>
      <c r="BM1338" s="2" t="s">
        <v>6542</v>
      </c>
    </row>
    <row r="1339" spans="1:67" ht="180" x14ac:dyDescent="0.45">
      <c r="A1339" s="5">
        <v>1338</v>
      </c>
      <c r="B1339" s="8" t="s">
        <v>1075</v>
      </c>
      <c r="C1339" s="6" t="s">
        <v>1816</v>
      </c>
      <c r="D1339" s="7" t="s">
        <v>9794</v>
      </c>
      <c r="E1339" s="1" t="s">
        <v>1262</v>
      </c>
      <c r="F1339" s="1" t="s">
        <v>9046</v>
      </c>
      <c r="G1339" s="1" t="s">
        <v>9025</v>
      </c>
      <c r="J1339" s="1" t="s">
        <v>9795</v>
      </c>
      <c r="L1339" s="3" t="s">
        <v>9870</v>
      </c>
      <c r="M1339" s="1" t="s">
        <v>12181</v>
      </c>
      <c r="P1339" s="7" t="s">
        <v>1241</v>
      </c>
      <c r="Q1339" s="13"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1339" s="13"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1339" s="13"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T1339" s="13"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1339" s="13"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V1339" s="13"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AU1339" s="15"/>
      <c r="AV1339" s="1" t="s">
        <v>38</v>
      </c>
      <c r="BG1339" s="7" t="s">
        <v>1242</v>
      </c>
      <c r="BH1339" s="1" t="s">
        <v>1947</v>
      </c>
      <c r="BI1339" s="2" t="s">
        <v>6543</v>
      </c>
      <c r="BJ1339" s="1" t="s">
        <v>1875</v>
      </c>
      <c r="BK1339" s="1" t="s">
        <v>6544</v>
      </c>
      <c r="BL1339" s="1" t="s">
        <v>1877</v>
      </c>
      <c r="BM1339" s="2" t="s">
        <v>6545</v>
      </c>
    </row>
    <row r="1340" spans="1:67" ht="198" x14ac:dyDescent="0.45">
      <c r="A1340" s="5">
        <v>1339</v>
      </c>
      <c r="B1340" s="6" t="s">
        <v>1076</v>
      </c>
      <c r="C1340" s="6" t="s">
        <v>1816</v>
      </c>
      <c r="D1340" s="7" t="s">
        <v>9794</v>
      </c>
      <c r="E1340" s="1" t="s">
        <v>1467</v>
      </c>
      <c r="F1340" s="1" t="s">
        <v>5838</v>
      </c>
      <c r="G1340" s="1"/>
      <c r="J1340" s="1" t="s">
        <v>9795</v>
      </c>
      <c r="L1340" s="3" t="s">
        <v>9871</v>
      </c>
      <c r="P1340" s="7" t="s">
        <v>1241</v>
      </c>
      <c r="Q1340" s="13" t="str">
        <f>INDEX($L:$L, MATCH("enterprise", $B:$B, 0))</f>
        <v>&lt;span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v>
      </c>
      <c r="R1340" s="13" t="str">
        <f>INDEX($L:$L, MATCH("comprehend", $B:$B, 0))</f>
        <v>&lt;span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v>
      </c>
      <c r="AU1340" s="15"/>
      <c r="AV1340" s="1" t="s">
        <v>38</v>
      </c>
      <c r="BG1340" s="7" t="s">
        <v>1242</v>
      </c>
      <c r="BH1340" s="1" t="s">
        <v>1947</v>
      </c>
      <c r="BI1340" s="2" t="s">
        <v>6546</v>
      </c>
      <c r="BJ1340" s="1" t="s">
        <v>1959</v>
      </c>
      <c r="BK1340" s="2" t="s">
        <v>6547</v>
      </c>
      <c r="BL1340" s="1" t="s">
        <v>1875</v>
      </c>
      <c r="BM1340" s="2" t="s">
        <v>6548</v>
      </c>
      <c r="BN1340" s="1" t="s">
        <v>1877</v>
      </c>
      <c r="BO1340" s="2" t="s">
        <v>6549</v>
      </c>
    </row>
    <row r="1341" spans="1:67" ht="198" x14ac:dyDescent="0.45">
      <c r="A1341" s="5">
        <v>1340</v>
      </c>
      <c r="B1341" s="8" t="s">
        <v>1077</v>
      </c>
      <c r="C1341" s="6" t="s">
        <v>1816</v>
      </c>
      <c r="D1341" s="7" t="s">
        <v>9794</v>
      </c>
      <c r="E1341" s="1" t="s">
        <v>1338</v>
      </c>
      <c r="F1341" s="1" t="s">
        <v>1903</v>
      </c>
      <c r="G1341" s="1"/>
      <c r="J1341" s="1" t="s">
        <v>9795</v>
      </c>
      <c r="L1341" s="3" t="s">
        <v>9872</v>
      </c>
      <c r="M1341" s="1" t="s">
        <v>12188</v>
      </c>
      <c r="P1341" s="7" t="s">
        <v>1241</v>
      </c>
      <c r="Q1341" s="13"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1341" s="13"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1341" s="13"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1341" s="13"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U1341" s="13"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AU1341" s="15"/>
      <c r="AV1341" s="1" t="s">
        <v>38</v>
      </c>
      <c r="BG1341" s="7" t="s">
        <v>1242</v>
      </c>
      <c r="BH1341" s="1" t="s">
        <v>1947</v>
      </c>
      <c r="BI1341" s="2" t="s">
        <v>6550</v>
      </c>
      <c r="BJ1341" s="1" t="s">
        <v>1959</v>
      </c>
      <c r="BK1341" s="1" t="s">
        <v>6551</v>
      </c>
      <c r="BL1341" s="1" t="s">
        <v>1875</v>
      </c>
      <c r="BM1341" s="2" t="s">
        <v>6552</v>
      </c>
      <c r="BN1341" s="1" t="s">
        <v>1877</v>
      </c>
      <c r="BO1341" s="2" t="s">
        <v>6553</v>
      </c>
    </row>
    <row r="1342" spans="1:67" ht="126" x14ac:dyDescent="0.45">
      <c r="A1342" s="5">
        <v>1341</v>
      </c>
      <c r="B1342" s="8" t="s">
        <v>1078</v>
      </c>
      <c r="C1342" s="6" t="s">
        <v>6851</v>
      </c>
      <c r="D1342" s="7" t="s">
        <v>9794</v>
      </c>
      <c r="E1342" s="1" t="s">
        <v>1078</v>
      </c>
      <c r="F1342" s="1"/>
      <c r="G1342" s="1"/>
      <c r="J1342" s="1" t="s">
        <v>9795</v>
      </c>
      <c r="L1342" s="2" t="s">
        <v>9873</v>
      </c>
      <c r="M1342" s="1" t="s">
        <v>12170</v>
      </c>
      <c r="P1342" s="7" t="s">
        <v>1241</v>
      </c>
      <c r="Q1342" s="13"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1342" s="13"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S1342" s="13"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v>
      </c>
      <c r="T1342" s="13"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AU1342" s="15"/>
      <c r="AV1342" s="1" t="s">
        <v>38</v>
      </c>
      <c r="BG1342" s="7" t="s">
        <v>1242</v>
      </c>
      <c r="BH1342" s="1" t="s">
        <v>1947</v>
      </c>
      <c r="BI1342" s="2" t="s">
        <v>6554</v>
      </c>
      <c r="BJ1342" s="1" t="s">
        <v>1967</v>
      </c>
      <c r="BK1342" s="1" t="s">
        <v>6555</v>
      </c>
      <c r="BL1342" s="1" t="s">
        <v>1959</v>
      </c>
      <c r="BM1342" s="2" t="s">
        <v>6556</v>
      </c>
      <c r="BN1342" s="1" t="s">
        <v>1875</v>
      </c>
      <c r="BO1342" s="2" t="s">
        <v>6557</v>
      </c>
    </row>
    <row r="1343" spans="1:67" ht="162" x14ac:dyDescent="0.45">
      <c r="A1343" s="5">
        <v>1342</v>
      </c>
      <c r="B1343" s="6" t="s">
        <v>1079</v>
      </c>
      <c r="C1343" s="6" t="s">
        <v>6851</v>
      </c>
      <c r="D1343" s="7" t="s">
        <v>9794</v>
      </c>
      <c r="E1343" s="1" t="s">
        <v>6558</v>
      </c>
      <c r="F1343" s="1" t="s">
        <v>1474</v>
      </c>
      <c r="G1343" s="1"/>
      <c r="J1343" s="1" t="s">
        <v>9795</v>
      </c>
      <c r="L1343" s="3" t="s">
        <v>9901</v>
      </c>
      <c r="P1343" s="7" t="s">
        <v>1241</v>
      </c>
      <c r="AU1343" s="15"/>
      <c r="AV1343" s="1" t="s">
        <v>38</v>
      </c>
      <c r="BG1343" s="7" t="s">
        <v>1242</v>
      </c>
      <c r="BH1343" s="1" t="s">
        <v>1947</v>
      </c>
      <c r="BI1343" s="2" t="s">
        <v>9902</v>
      </c>
      <c r="BJ1343" s="1" t="s">
        <v>1959</v>
      </c>
      <c r="BK1343" s="1" t="s">
        <v>6559</v>
      </c>
      <c r="BL1343" s="1" t="s">
        <v>1875</v>
      </c>
      <c r="BM1343" s="2" t="s">
        <v>6560</v>
      </c>
    </row>
    <row r="1344" spans="1:67" ht="216" x14ac:dyDescent="0.45">
      <c r="A1344" s="5">
        <v>1343</v>
      </c>
      <c r="B1344" s="8" t="s">
        <v>1080</v>
      </c>
      <c r="C1344" s="6" t="s">
        <v>6851</v>
      </c>
      <c r="D1344" s="7" t="s">
        <v>9794</v>
      </c>
      <c r="E1344" s="1" t="s">
        <v>6561</v>
      </c>
      <c r="F1344" s="1" t="s">
        <v>1720</v>
      </c>
      <c r="G1344" s="1" t="s">
        <v>1584</v>
      </c>
      <c r="J1344" s="1" t="s">
        <v>9795</v>
      </c>
      <c r="L1344" s="3" t="s">
        <v>9903</v>
      </c>
      <c r="P1344" s="7" t="s">
        <v>1241</v>
      </c>
      <c r="Q1344" s="13" t="str">
        <f>INDEX($L:$L, MATCH("crisis", $B:$B, 0))</f>
        <v>&lt;span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v>
      </c>
      <c r="R1344" s="13" t="str">
        <f>INDEX($L:$L, MATCH("criticize", $B:$B, 0))</f>
        <v>&lt;span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v>
      </c>
      <c r="AV1344" s="1" t="s">
        <v>38</v>
      </c>
      <c r="BG1344" s="7" t="s">
        <v>1242</v>
      </c>
      <c r="BH1344" s="1" t="s">
        <v>1976</v>
      </c>
      <c r="BI1344" s="1" t="s">
        <v>3524</v>
      </c>
      <c r="BJ1344" s="1" t="s">
        <v>2458</v>
      </c>
      <c r="BK1344" s="2" t="s">
        <v>6562</v>
      </c>
      <c r="BL1344" s="1" t="s">
        <v>1877</v>
      </c>
      <c r="BM1344" s="2" t="s">
        <v>6563</v>
      </c>
    </row>
    <row r="1345" spans="1:71" ht="396" x14ac:dyDescent="0.45">
      <c r="A1345" s="5">
        <v>1344</v>
      </c>
      <c r="B1345" s="6" t="s">
        <v>1081</v>
      </c>
      <c r="C1345" s="6" t="s">
        <v>6851</v>
      </c>
      <c r="D1345" s="7" t="s">
        <v>9794</v>
      </c>
      <c r="E1345" s="1" t="s">
        <v>5988</v>
      </c>
      <c r="F1345" s="1" t="s">
        <v>6564</v>
      </c>
      <c r="G1345" s="1"/>
      <c r="J1345" s="1" t="s">
        <v>9795</v>
      </c>
      <c r="K1345" s="2" t="s">
        <v>9874</v>
      </c>
      <c r="L1345" s="2" t="s">
        <v>9875</v>
      </c>
      <c r="P1345" s="7" t="s">
        <v>1241</v>
      </c>
      <c r="AU1345" s="15"/>
      <c r="AV1345" s="1" t="s">
        <v>38</v>
      </c>
      <c r="BG1345" s="7" t="s">
        <v>1242</v>
      </c>
      <c r="BH1345" s="1" t="s">
        <v>2458</v>
      </c>
      <c r="BI1345" s="2" t="s">
        <v>9876</v>
      </c>
      <c r="BJ1345" s="1" t="s">
        <v>1947</v>
      </c>
      <c r="BK1345" s="1" t="s">
        <v>6565</v>
      </c>
      <c r="BL1345" s="1" t="s">
        <v>1959</v>
      </c>
      <c r="BM1345" s="2" t="s">
        <v>6566</v>
      </c>
      <c r="BN1345" s="1" t="s">
        <v>1877</v>
      </c>
      <c r="BO1345" s="2" t="s">
        <v>6567</v>
      </c>
      <c r="BP1345" s="1" t="s">
        <v>3497</v>
      </c>
      <c r="BQ1345" s="2" t="s">
        <v>6568</v>
      </c>
    </row>
    <row r="1346" spans="1:71" ht="126" x14ac:dyDescent="0.45">
      <c r="A1346" s="5">
        <v>1345</v>
      </c>
      <c r="B1346" s="6" t="s">
        <v>1082</v>
      </c>
      <c r="C1346" s="6" t="s">
        <v>6851</v>
      </c>
      <c r="D1346" s="7" t="s">
        <v>9794</v>
      </c>
      <c r="E1346" s="1" t="s">
        <v>6569</v>
      </c>
      <c r="F1346" s="1" t="s">
        <v>1517</v>
      </c>
      <c r="G1346" s="1"/>
      <c r="J1346" s="1" t="s">
        <v>9795</v>
      </c>
      <c r="L1346" s="2" t="s">
        <v>9877</v>
      </c>
      <c r="P1346" s="7" t="s">
        <v>1241</v>
      </c>
      <c r="AU1346" s="15"/>
      <c r="AV1346" s="1" t="s">
        <v>38</v>
      </c>
      <c r="BG1346" s="7" t="s">
        <v>1242</v>
      </c>
      <c r="BH1346" s="1" t="s">
        <v>1959</v>
      </c>
      <c r="BI1346" s="2" t="s">
        <v>9878</v>
      </c>
      <c r="BJ1346" s="1" t="s">
        <v>1875</v>
      </c>
      <c r="BK1346" s="2" t="s">
        <v>6570</v>
      </c>
    </row>
    <row r="1347" spans="1:71" ht="180" x14ac:dyDescent="0.45">
      <c r="A1347" s="5">
        <v>1346</v>
      </c>
      <c r="B1347" s="8" t="s">
        <v>1083</v>
      </c>
      <c r="C1347" s="6" t="s">
        <v>6851</v>
      </c>
      <c r="D1347" s="7" t="s">
        <v>9794</v>
      </c>
      <c r="E1347" s="1" t="s">
        <v>6571</v>
      </c>
      <c r="F1347" s="1" t="s">
        <v>6572</v>
      </c>
      <c r="G1347" s="1"/>
      <c r="J1347" s="1" t="s">
        <v>9795</v>
      </c>
      <c r="L1347" s="3" t="s">
        <v>9879</v>
      </c>
      <c r="M1347" s="1" t="s">
        <v>12178</v>
      </c>
      <c r="P1347" s="7" t="s">
        <v>1241</v>
      </c>
      <c r="Q1347" s="13"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R1347" s="13"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S1347" s="13"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T1347" s="13"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U1347" s="15"/>
      <c r="AV1347" s="1" t="s">
        <v>38</v>
      </c>
      <c r="BG1347" s="7" t="s">
        <v>1242</v>
      </c>
      <c r="BH1347" s="1" t="s">
        <v>1947</v>
      </c>
      <c r="BI1347" s="2" t="s">
        <v>6573</v>
      </c>
      <c r="BJ1347" s="1" t="s">
        <v>2036</v>
      </c>
      <c r="BK1347" s="1" t="s">
        <v>6574</v>
      </c>
      <c r="BL1347" s="1" t="s">
        <v>1959</v>
      </c>
      <c r="BM1347" s="2" t="s">
        <v>6575</v>
      </c>
      <c r="BN1347" s="2" t="s">
        <v>1877</v>
      </c>
      <c r="BO1347" s="2" t="s">
        <v>6576</v>
      </c>
    </row>
    <row r="1348" spans="1:71" ht="252" x14ac:dyDescent="0.45">
      <c r="A1348" s="5">
        <v>1347</v>
      </c>
      <c r="B1348" s="8" t="s">
        <v>1084</v>
      </c>
      <c r="C1348" s="6" t="s">
        <v>6851</v>
      </c>
      <c r="D1348" s="7" t="s">
        <v>9794</v>
      </c>
      <c r="E1348" s="1" t="s">
        <v>1084</v>
      </c>
      <c r="F1348" s="1"/>
      <c r="G1348" s="1"/>
      <c r="J1348" s="1" t="s">
        <v>9795</v>
      </c>
      <c r="L1348" s="3" t="s">
        <v>9904</v>
      </c>
      <c r="M1348" s="1" t="s">
        <v>12269</v>
      </c>
      <c r="P1348" s="7" t="s">
        <v>1241</v>
      </c>
      <c r="Q1348"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348"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1348" s="13"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1348"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1348" s="13"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1348" s="13"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1348" s="13"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X1348" s="13"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1348" s="15"/>
      <c r="AV1348" s="1" t="s">
        <v>38</v>
      </c>
      <c r="BG1348" s="7" t="s">
        <v>1242</v>
      </c>
      <c r="BH1348" s="1" t="s">
        <v>1947</v>
      </c>
      <c r="BI1348" s="2" t="s">
        <v>9905</v>
      </c>
      <c r="BJ1348" s="1" t="s">
        <v>1877</v>
      </c>
      <c r="BK1348" s="2" t="s">
        <v>6577</v>
      </c>
    </row>
    <row r="1349" spans="1:71" ht="180" x14ac:dyDescent="0.45">
      <c r="A1349" s="5">
        <v>1348</v>
      </c>
      <c r="B1349" s="6" t="s">
        <v>1085</v>
      </c>
      <c r="C1349" s="6" t="s">
        <v>6851</v>
      </c>
      <c r="D1349" s="7" t="s">
        <v>9794</v>
      </c>
      <c r="E1349" s="1" t="s">
        <v>6578</v>
      </c>
      <c r="F1349" s="1" t="s">
        <v>6579</v>
      </c>
      <c r="G1349" s="1"/>
      <c r="J1349" s="1" t="s">
        <v>9795</v>
      </c>
      <c r="L1349" s="2" t="s">
        <v>9880</v>
      </c>
      <c r="P1349" s="7" t="s">
        <v>1241</v>
      </c>
      <c r="AU1349" s="15"/>
      <c r="AV1349" s="1" t="s">
        <v>38</v>
      </c>
      <c r="BG1349" s="7" t="s">
        <v>1242</v>
      </c>
      <c r="BH1349" s="1" t="s">
        <v>1877</v>
      </c>
      <c r="BI1349" s="2" t="s">
        <v>6580</v>
      </c>
    </row>
    <row r="1350" spans="1:71" ht="108" x14ac:dyDescent="0.45">
      <c r="A1350" s="5">
        <v>1349</v>
      </c>
      <c r="B1350" s="6" t="s">
        <v>1086</v>
      </c>
      <c r="C1350" s="6" t="s">
        <v>6851</v>
      </c>
      <c r="D1350" s="7" t="s">
        <v>9794</v>
      </c>
      <c r="E1350" s="6" t="s">
        <v>1086</v>
      </c>
      <c r="F1350" s="1"/>
      <c r="G1350" s="1"/>
      <c r="J1350" s="1" t="s">
        <v>9795</v>
      </c>
      <c r="L1350" s="3" t="s">
        <v>9881</v>
      </c>
      <c r="P1350" s="7" t="s">
        <v>1241</v>
      </c>
      <c r="AV1350" s="1" t="s">
        <v>38</v>
      </c>
      <c r="BG1350" s="7" t="s">
        <v>1242</v>
      </c>
      <c r="BH1350" s="1" t="s">
        <v>1959</v>
      </c>
      <c r="BI1350" s="1" t="s">
        <v>6581</v>
      </c>
      <c r="BJ1350" s="1" t="s">
        <v>1877</v>
      </c>
      <c r="BK1350" s="2" t="s">
        <v>6582</v>
      </c>
    </row>
    <row r="1351" spans="1:71" ht="216" x14ac:dyDescent="0.45">
      <c r="A1351" s="5">
        <v>1350</v>
      </c>
      <c r="B1351" s="6" t="s">
        <v>1087</v>
      </c>
      <c r="C1351" s="6" t="s">
        <v>6851</v>
      </c>
      <c r="D1351" s="7" t="s">
        <v>9794</v>
      </c>
      <c r="E1351" s="1" t="s">
        <v>6583</v>
      </c>
      <c r="F1351" s="1" t="s">
        <v>6584</v>
      </c>
      <c r="G1351" s="1" t="s">
        <v>1551</v>
      </c>
      <c r="J1351" s="1" t="s">
        <v>9795</v>
      </c>
      <c r="L1351" s="3" t="s">
        <v>9882</v>
      </c>
      <c r="M1351" s="1" t="s">
        <v>12263</v>
      </c>
      <c r="P1351" s="7" t="s">
        <v>1241</v>
      </c>
      <c r="Q1351" s="13" t="str">
        <f>INDEX($L:$L, MATCH("democracy", $B:$B, 0))</f>
        <v>&lt;span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v>
      </c>
      <c r="R1351" s="13" t="str">
        <f>INDEX($L:$L, MATCH("demographic", $B:$B, 0))</f>
        <v>&lt;span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v>
      </c>
      <c r="AU1351" s="15"/>
      <c r="AV1351" s="1" t="s">
        <v>38</v>
      </c>
      <c r="BG1351" s="7" t="s">
        <v>1242</v>
      </c>
      <c r="BH1351" s="1" t="s">
        <v>2458</v>
      </c>
      <c r="BI1351" s="2" t="s">
        <v>6585</v>
      </c>
      <c r="BJ1351" s="1" t="s">
        <v>1967</v>
      </c>
      <c r="BK1351" s="1" t="s">
        <v>6586</v>
      </c>
      <c r="BL1351" s="1" t="s">
        <v>1996</v>
      </c>
      <c r="BM1351" s="1" t="s">
        <v>6587</v>
      </c>
      <c r="BN1351" s="1" t="s">
        <v>1877</v>
      </c>
      <c r="BO1351" s="2" t="s">
        <v>6588</v>
      </c>
    </row>
    <row r="1352" spans="1:71" ht="90" x14ac:dyDescent="0.45">
      <c r="A1352" s="5">
        <v>1351</v>
      </c>
      <c r="B1352" s="6" t="s">
        <v>1088</v>
      </c>
      <c r="C1352" s="6" t="s">
        <v>6851</v>
      </c>
      <c r="D1352" s="7" t="s">
        <v>9794</v>
      </c>
      <c r="E1352" s="1" t="s">
        <v>1660</v>
      </c>
      <c r="F1352" s="1" t="s">
        <v>6589</v>
      </c>
      <c r="G1352" s="1"/>
      <c r="J1352" s="1" t="s">
        <v>9795</v>
      </c>
      <c r="L1352" s="2" t="s">
        <v>9883</v>
      </c>
      <c r="P1352" s="7" t="s">
        <v>1241</v>
      </c>
      <c r="Q1352" s="13"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R1352" s="13"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S1352" s="13"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T1352" s="13"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AU1352" s="15"/>
      <c r="AV1352" s="1" t="s">
        <v>38</v>
      </c>
      <c r="BG1352" s="7" t="s">
        <v>1242</v>
      </c>
      <c r="BH1352" s="1" t="s">
        <v>1875</v>
      </c>
      <c r="BI1352" s="2" t="s">
        <v>6590</v>
      </c>
      <c r="BJ1352" s="1" t="s">
        <v>1877</v>
      </c>
      <c r="BK1352" s="2" t="s">
        <v>6591</v>
      </c>
    </row>
    <row r="1353" spans="1:71" ht="144" x14ac:dyDescent="0.45">
      <c r="A1353" s="5">
        <v>1352</v>
      </c>
      <c r="B1353" s="6" t="s">
        <v>1089</v>
      </c>
      <c r="C1353" s="6" t="s">
        <v>6851</v>
      </c>
      <c r="D1353" s="7" t="s">
        <v>9794</v>
      </c>
      <c r="E1353" s="1" t="s">
        <v>1089</v>
      </c>
      <c r="F1353" s="1"/>
      <c r="G1353" s="1"/>
      <c r="J1353" s="1" t="s">
        <v>9795</v>
      </c>
      <c r="L1353" s="2" t="s">
        <v>9884</v>
      </c>
      <c r="P1353" s="7" t="s">
        <v>1241</v>
      </c>
      <c r="AU1353" s="15"/>
      <c r="AV1353" s="1" t="s">
        <v>38</v>
      </c>
      <c r="BG1353" s="7" t="s">
        <v>1242</v>
      </c>
      <c r="BH1353" s="1" t="s">
        <v>2458</v>
      </c>
      <c r="BI1353" s="2" t="s">
        <v>6592</v>
      </c>
      <c r="BJ1353" s="1" t="s">
        <v>1947</v>
      </c>
      <c r="BK1353" s="1" t="s">
        <v>1089</v>
      </c>
      <c r="BL1353" s="1" t="s">
        <v>1959</v>
      </c>
      <c r="BM1353" s="2" t="s">
        <v>6593</v>
      </c>
      <c r="BN1353" s="1" t="s">
        <v>1875</v>
      </c>
      <c r="BO1353" s="2" t="s">
        <v>6594</v>
      </c>
      <c r="BP1353" s="1" t="s">
        <v>1877</v>
      </c>
      <c r="BQ1353" s="2" t="s">
        <v>6595</v>
      </c>
    </row>
    <row r="1354" spans="1:71" ht="108" x14ac:dyDescent="0.45">
      <c r="A1354" s="5">
        <v>1353</v>
      </c>
      <c r="B1354" s="6" t="s">
        <v>1090</v>
      </c>
      <c r="C1354" s="6" t="s">
        <v>6851</v>
      </c>
      <c r="D1354" s="7" t="s">
        <v>9794</v>
      </c>
      <c r="E1354" s="1" t="s">
        <v>6596</v>
      </c>
      <c r="F1354" s="1" t="s">
        <v>6597</v>
      </c>
      <c r="G1354" s="1"/>
      <c r="J1354" s="1" t="s">
        <v>9795</v>
      </c>
      <c r="L1354" s="2" t="s">
        <v>9885</v>
      </c>
      <c r="P1354" s="7" t="s">
        <v>1241</v>
      </c>
      <c r="AU1354" s="15"/>
      <c r="AV1354" s="1" t="s">
        <v>38</v>
      </c>
      <c r="BG1354" s="7" t="s">
        <v>1242</v>
      </c>
      <c r="BH1354" s="1" t="s">
        <v>1875</v>
      </c>
      <c r="BI1354" s="2" t="s">
        <v>6598</v>
      </c>
      <c r="BJ1354" s="1" t="s">
        <v>1877</v>
      </c>
      <c r="BK1354" s="2" t="s">
        <v>6599</v>
      </c>
    </row>
    <row r="1355" spans="1:71" ht="90" x14ac:dyDescent="0.45">
      <c r="A1355" s="5">
        <v>1354</v>
      </c>
      <c r="B1355" s="6" t="s">
        <v>1091</v>
      </c>
      <c r="C1355" s="6" t="s">
        <v>6851</v>
      </c>
      <c r="D1355" s="7" t="s">
        <v>9794</v>
      </c>
      <c r="E1355" s="1" t="s">
        <v>1091</v>
      </c>
      <c r="F1355" s="1"/>
      <c r="G1355" s="1"/>
      <c r="J1355" s="1" t="s">
        <v>9795</v>
      </c>
      <c r="L1355" s="2" t="s">
        <v>9886</v>
      </c>
      <c r="P1355" s="7" t="s">
        <v>1241</v>
      </c>
      <c r="AU1355" s="15"/>
      <c r="AV1355" s="1" t="s">
        <v>38</v>
      </c>
      <c r="BG1355" s="7" t="s">
        <v>1242</v>
      </c>
      <c r="BH1355" s="1" t="s">
        <v>1947</v>
      </c>
      <c r="BI1355" s="2" t="s">
        <v>6600</v>
      </c>
      <c r="BJ1355" s="1" t="s">
        <v>1959</v>
      </c>
      <c r="BK1355" s="2" t="s">
        <v>6601</v>
      </c>
      <c r="BL1355" s="1" t="s">
        <v>1875</v>
      </c>
      <c r="BM1355" s="2" t="s">
        <v>6602</v>
      </c>
      <c r="BN1355" s="1" t="s">
        <v>3497</v>
      </c>
      <c r="BO1355" s="2" t="s">
        <v>6603</v>
      </c>
    </row>
    <row r="1356" spans="1:71" ht="126" x14ac:dyDescent="0.45">
      <c r="A1356" s="5">
        <v>1355</v>
      </c>
      <c r="B1356" s="6" t="s">
        <v>1092</v>
      </c>
      <c r="C1356" s="6" t="s">
        <v>6851</v>
      </c>
      <c r="D1356" s="7" t="s">
        <v>9794</v>
      </c>
      <c r="E1356" s="6" t="s">
        <v>1092</v>
      </c>
      <c r="F1356" s="1"/>
      <c r="G1356" s="1"/>
      <c r="J1356" s="1" t="s">
        <v>9795</v>
      </c>
      <c r="K1356" s="2" t="s">
        <v>9887</v>
      </c>
      <c r="L1356" s="3" t="s">
        <v>9888</v>
      </c>
      <c r="P1356" s="7" t="s">
        <v>1241</v>
      </c>
      <c r="AV1356" s="1" t="s">
        <v>38</v>
      </c>
      <c r="BG1356" s="7" t="s">
        <v>1242</v>
      </c>
      <c r="BH1356" s="1" t="s">
        <v>1872</v>
      </c>
      <c r="BI1356" s="1" t="s">
        <v>6604</v>
      </c>
      <c r="BJ1356" s="1" t="s">
        <v>1875</v>
      </c>
      <c r="BK1356" s="1" t="s">
        <v>6605</v>
      </c>
      <c r="BL1356" s="1" t="s">
        <v>1877</v>
      </c>
      <c r="BM1356" s="2" t="s">
        <v>6606</v>
      </c>
    </row>
    <row r="1357" spans="1:71" ht="126" x14ac:dyDescent="0.45">
      <c r="A1357" s="5">
        <v>1356</v>
      </c>
      <c r="B1357" s="6" t="s">
        <v>1093</v>
      </c>
      <c r="C1357" s="6" t="s">
        <v>6851</v>
      </c>
      <c r="D1357" s="7" t="s">
        <v>9794</v>
      </c>
      <c r="E1357" s="6" t="s">
        <v>1093</v>
      </c>
      <c r="F1357" s="1"/>
      <c r="G1357" s="1"/>
      <c r="J1357" s="1" t="s">
        <v>9795</v>
      </c>
      <c r="L1357" s="2" t="s">
        <v>9889</v>
      </c>
      <c r="P1357" s="7" t="s">
        <v>1241</v>
      </c>
      <c r="AV1357" s="1" t="s">
        <v>38</v>
      </c>
      <c r="BG1357" s="7" t="s">
        <v>1242</v>
      </c>
      <c r="BH1357" s="1" t="s">
        <v>1947</v>
      </c>
      <c r="BI1357" s="1" t="s">
        <v>6607</v>
      </c>
      <c r="BJ1357" s="1" t="s">
        <v>1877</v>
      </c>
      <c r="BK1357" s="2" t="s">
        <v>6608</v>
      </c>
    </row>
    <row r="1358" spans="1:71" ht="162" x14ac:dyDescent="0.45">
      <c r="A1358" s="5">
        <v>1357</v>
      </c>
      <c r="B1358" s="6" t="s">
        <v>1094</v>
      </c>
      <c r="C1358" s="6" t="s">
        <v>6851</v>
      </c>
      <c r="D1358" s="7" t="s">
        <v>9794</v>
      </c>
      <c r="E1358" s="6" t="s">
        <v>1094</v>
      </c>
      <c r="F1358" s="1"/>
      <c r="G1358" s="1"/>
      <c r="J1358" s="1" t="s">
        <v>9795</v>
      </c>
      <c r="L1358" s="2" t="s">
        <v>9890</v>
      </c>
      <c r="P1358" s="7" t="s">
        <v>1241</v>
      </c>
      <c r="AU1358" s="15"/>
      <c r="AV1358" s="1" t="s">
        <v>38</v>
      </c>
      <c r="BG1358" s="7" t="s">
        <v>1242</v>
      </c>
      <c r="BH1358" s="1" t="s">
        <v>1976</v>
      </c>
      <c r="BI1358" s="2" t="s">
        <v>6609</v>
      </c>
      <c r="BJ1358" s="1" t="s">
        <v>1872</v>
      </c>
      <c r="BK1358" s="1" t="s">
        <v>6610</v>
      </c>
      <c r="BL1358" s="1" t="s">
        <v>1877</v>
      </c>
      <c r="BM1358" s="2" t="s">
        <v>6611</v>
      </c>
    </row>
    <row r="1359" spans="1:71" ht="216" x14ac:dyDescent="0.45">
      <c r="A1359" s="5">
        <v>1358</v>
      </c>
      <c r="B1359" s="6" t="s">
        <v>1095</v>
      </c>
      <c r="C1359" s="6" t="s">
        <v>6851</v>
      </c>
      <c r="D1359" s="7" t="s">
        <v>9794</v>
      </c>
      <c r="E1359" s="1" t="s">
        <v>6019</v>
      </c>
      <c r="F1359" s="1" t="s">
        <v>6612</v>
      </c>
      <c r="G1359" s="1" t="s">
        <v>1584</v>
      </c>
      <c r="J1359" s="1" t="s">
        <v>9795</v>
      </c>
      <c r="L1359" s="3" t="s">
        <v>9906</v>
      </c>
      <c r="P1359" s="7" t="s">
        <v>1241</v>
      </c>
      <c r="AU1359" s="15"/>
      <c r="AV1359" s="1" t="s">
        <v>38</v>
      </c>
      <c r="BG1359" s="7" t="s">
        <v>1242</v>
      </c>
      <c r="BH1359" s="1" t="s">
        <v>1947</v>
      </c>
      <c r="BI1359" s="2" t="s">
        <v>6613</v>
      </c>
      <c r="BJ1359" s="1" t="s">
        <v>1877</v>
      </c>
      <c r="BK1359" s="2" t="s">
        <v>6614</v>
      </c>
    </row>
    <row r="1360" spans="1:71" ht="180" x14ac:dyDescent="0.45">
      <c r="A1360" s="5">
        <v>1359</v>
      </c>
      <c r="B1360" s="6" t="s">
        <v>1096</v>
      </c>
      <c r="C1360" s="6" t="s">
        <v>6851</v>
      </c>
      <c r="D1360" s="7" t="s">
        <v>9794</v>
      </c>
      <c r="E1360" s="1" t="s">
        <v>1096</v>
      </c>
      <c r="F1360" s="1"/>
      <c r="G1360" s="1"/>
      <c r="J1360" s="1" t="s">
        <v>9795</v>
      </c>
      <c r="L1360" s="2" t="s">
        <v>9891</v>
      </c>
      <c r="P1360" s="7" t="s">
        <v>1241</v>
      </c>
      <c r="AU1360" s="15"/>
      <c r="AV1360" s="1" t="s">
        <v>38</v>
      </c>
      <c r="BG1360" s="7" t="s">
        <v>1242</v>
      </c>
      <c r="BH1360" s="1" t="s">
        <v>1976</v>
      </c>
      <c r="BI1360" s="2" t="s">
        <v>6615</v>
      </c>
      <c r="BJ1360" s="1" t="s">
        <v>2458</v>
      </c>
      <c r="BK1360" s="2" t="s">
        <v>6616</v>
      </c>
      <c r="BL1360" s="1" t="s">
        <v>1967</v>
      </c>
      <c r="BM1360" s="1" t="s">
        <v>6617</v>
      </c>
      <c r="BN1360" s="1" t="s">
        <v>1959</v>
      </c>
      <c r="BO1360" s="2" t="s">
        <v>6618</v>
      </c>
      <c r="BP1360" s="1" t="s">
        <v>1875</v>
      </c>
      <c r="BQ1360" s="2" t="s">
        <v>6619</v>
      </c>
      <c r="BR1360" s="1" t="s">
        <v>1877</v>
      </c>
      <c r="BS1360" s="2" t="s">
        <v>6620</v>
      </c>
    </row>
    <row r="1361" spans="1:69" ht="252" x14ac:dyDescent="0.45">
      <c r="A1361" s="5">
        <v>1360</v>
      </c>
      <c r="B1361" s="8" t="s">
        <v>1097</v>
      </c>
      <c r="C1361" s="6" t="s">
        <v>6851</v>
      </c>
      <c r="D1361" s="7" t="s">
        <v>9794</v>
      </c>
      <c r="E1361" s="1" t="s">
        <v>6621</v>
      </c>
      <c r="F1361" s="1" t="s">
        <v>6622</v>
      </c>
      <c r="G1361" s="1"/>
      <c r="J1361" s="1" t="s">
        <v>9795</v>
      </c>
      <c r="L1361" s="2" t="s">
        <v>12165</v>
      </c>
      <c r="M1361" s="1" t="s">
        <v>12168</v>
      </c>
      <c r="P1361" s="7" t="s">
        <v>1241</v>
      </c>
      <c r="Q1361" s="13" t="str">
        <f>INDEX($L:$L, MATCH("precise", $B:$B, 0))</f>
        <v>&lt;span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v>
      </c>
      <c r="R1361" s="13" t="str">
        <f>INDEX($L:$L, MATCH("decide", $B:$B, 0))</f>
        <v>&lt;span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v>
      </c>
      <c r="S1361" s="13" t="str">
        <f>INDEX($L:$L, MATCH("pesticide", $B:$B, 0))</f>
        <v>&lt;span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v>
      </c>
      <c r="AU1361" s="15"/>
      <c r="AV1361" s="1" t="s">
        <v>38</v>
      </c>
      <c r="BG1361" s="7" t="s">
        <v>1242</v>
      </c>
      <c r="BH1361" s="1" t="s">
        <v>1947</v>
      </c>
      <c r="BI1361" s="2" t="s">
        <v>6623</v>
      </c>
      <c r="BJ1361" s="1" t="s">
        <v>3408</v>
      </c>
      <c r="BK1361" s="2" t="s">
        <v>6624</v>
      </c>
      <c r="BL1361" s="1" t="s">
        <v>1877</v>
      </c>
      <c r="BM1361" s="2" t="s">
        <v>6625</v>
      </c>
    </row>
    <row r="1362" spans="1:69" ht="144" x14ac:dyDescent="0.45">
      <c r="A1362" s="5">
        <v>1361</v>
      </c>
      <c r="B1362" s="6" t="s">
        <v>1098</v>
      </c>
      <c r="C1362" s="6" t="s">
        <v>6851</v>
      </c>
      <c r="D1362" s="7" t="s">
        <v>9794</v>
      </c>
      <c r="E1362" s="6" t="s">
        <v>1098</v>
      </c>
      <c r="F1362" s="1"/>
      <c r="G1362" s="1"/>
      <c r="J1362" s="1" t="s">
        <v>9795</v>
      </c>
      <c r="L1362" s="2" t="s">
        <v>9892</v>
      </c>
      <c r="P1362" s="7" t="s">
        <v>1241</v>
      </c>
      <c r="AU1362" s="15"/>
      <c r="AV1362" s="1" t="s">
        <v>38</v>
      </c>
      <c r="BG1362" s="7" t="s">
        <v>1242</v>
      </c>
      <c r="BH1362" s="1" t="s">
        <v>1947</v>
      </c>
      <c r="BI1362" s="2" t="s">
        <v>6626</v>
      </c>
      <c r="BJ1362" s="1" t="s">
        <v>2026</v>
      </c>
      <c r="BK1362" s="1" t="s">
        <v>6627</v>
      </c>
      <c r="BL1362" s="1" t="s">
        <v>1959</v>
      </c>
      <c r="BM1362" s="1" t="s">
        <v>6628</v>
      </c>
      <c r="BN1362" s="1" t="s">
        <v>1875</v>
      </c>
      <c r="BO1362" s="2" t="s">
        <v>6629</v>
      </c>
    </row>
    <row r="1363" spans="1:69" ht="144" x14ac:dyDescent="0.45">
      <c r="A1363" s="5">
        <v>1362</v>
      </c>
      <c r="B1363" s="6" t="s">
        <v>1099</v>
      </c>
      <c r="C1363" s="6" t="s">
        <v>6851</v>
      </c>
      <c r="D1363" s="7" t="s">
        <v>9794</v>
      </c>
      <c r="E1363" s="6" t="s">
        <v>1099</v>
      </c>
      <c r="F1363" s="1"/>
      <c r="G1363" s="1"/>
      <c r="J1363" s="1" t="s">
        <v>9795</v>
      </c>
      <c r="L1363" s="2" t="s">
        <v>9893</v>
      </c>
      <c r="P1363" s="7" t="s">
        <v>1241</v>
      </c>
      <c r="AV1363" s="1" t="s">
        <v>38</v>
      </c>
      <c r="BG1363" s="7" t="s">
        <v>1242</v>
      </c>
      <c r="BH1363" s="1" t="s">
        <v>1947</v>
      </c>
      <c r="BI1363" s="1" t="s">
        <v>6630</v>
      </c>
      <c r="BJ1363" s="1" t="s">
        <v>2036</v>
      </c>
      <c r="BK1363" s="1" t="s">
        <v>6631</v>
      </c>
      <c r="BL1363" s="1" t="s">
        <v>1996</v>
      </c>
      <c r="BM1363" s="1" t="s">
        <v>6632</v>
      </c>
      <c r="BN1363" s="1" t="s">
        <v>1877</v>
      </c>
      <c r="BO1363" s="2" t="s">
        <v>6633</v>
      </c>
    </row>
    <row r="1364" spans="1:69" ht="108" x14ac:dyDescent="0.45">
      <c r="A1364" s="5">
        <v>1363</v>
      </c>
      <c r="B1364" s="6" t="s">
        <v>1100</v>
      </c>
      <c r="C1364" s="6" t="s">
        <v>6851</v>
      </c>
      <c r="D1364" s="7" t="s">
        <v>9794</v>
      </c>
      <c r="E1364" s="1" t="s">
        <v>1100</v>
      </c>
      <c r="F1364" s="1"/>
      <c r="G1364" s="1"/>
      <c r="J1364" s="1" t="s">
        <v>9795</v>
      </c>
      <c r="L1364" s="3" t="s">
        <v>9894</v>
      </c>
      <c r="P1364" s="7" t="s">
        <v>1241</v>
      </c>
      <c r="AV1364" s="1" t="s">
        <v>38</v>
      </c>
      <c r="BG1364" s="7" t="s">
        <v>1242</v>
      </c>
      <c r="BH1364" s="1" t="s">
        <v>1947</v>
      </c>
      <c r="BI1364" s="1" t="s">
        <v>6634</v>
      </c>
      <c r="BJ1364" s="1" t="s">
        <v>1959</v>
      </c>
      <c r="BK1364" s="1" t="s">
        <v>6635</v>
      </c>
      <c r="BL1364" s="1" t="s">
        <v>1875</v>
      </c>
      <c r="BM1364" s="2" t="s">
        <v>6636</v>
      </c>
    </row>
    <row r="1365" spans="1:69" ht="144" x14ac:dyDescent="0.45">
      <c r="A1365" s="5">
        <v>1364</v>
      </c>
      <c r="B1365" s="6" t="s">
        <v>1101</v>
      </c>
      <c r="C1365" s="6" t="s">
        <v>6851</v>
      </c>
      <c r="D1365" s="7" t="s">
        <v>9794</v>
      </c>
      <c r="E1365" s="1" t="s">
        <v>31</v>
      </c>
      <c r="F1365" s="1" t="s">
        <v>1816</v>
      </c>
      <c r="G1365" s="1"/>
      <c r="J1365" s="1" t="s">
        <v>9795</v>
      </c>
      <c r="L1365" s="2" t="s">
        <v>9895</v>
      </c>
      <c r="P1365" s="7" t="s">
        <v>1241</v>
      </c>
      <c r="Q1365" s="13" t="str">
        <f>INDEX($L:$L, MATCH("verbal", $B:$B, 0))</f>
        <v>&lt;span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v>
      </c>
      <c r="AU1365" s="15"/>
      <c r="AV1365" s="1" t="s">
        <v>38</v>
      </c>
      <c r="BG1365" s="7" t="s">
        <v>1242</v>
      </c>
      <c r="BH1365" s="1" t="s">
        <v>1947</v>
      </c>
      <c r="BI1365" s="2" t="s">
        <v>6637</v>
      </c>
      <c r="BJ1365" s="1" t="s">
        <v>1959</v>
      </c>
      <c r="BK1365" s="2" t="s">
        <v>6638</v>
      </c>
      <c r="BL1365" s="1" t="s">
        <v>1875</v>
      </c>
      <c r="BM1365" s="2" t="s">
        <v>6639</v>
      </c>
    </row>
    <row r="1366" spans="1:69" ht="198" x14ac:dyDescent="0.45">
      <c r="A1366" s="5">
        <v>1365</v>
      </c>
      <c r="B1366" s="8" t="s">
        <v>1102</v>
      </c>
      <c r="C1366" s="6" t="s">
        <v>6851</v>
      </c>
      <c r="D1366" s="7" t="s">
        <v>9794</v>
      </c>
      <c r="E1366" s="1" t="s">
        <v>4313</v>
      </c>
      <c r="F1366" s="1" t="s">
        <v>1395</v>
      </c>
      <c r="G1366" s="1" t="s">
        <v>1525</v>
      </c>
      <c r="J1366" s="1" t="s">
        <v>9795</v>
      </c>
      <c r="L1366" s="2" t="s">
        <v>9896</v>
      </c>
      <c r="M1366" s="1" t="s">
        <v>12175</v>
      </c>
      <c r="P1366" s="7" t="s">
        <v>1241</v>
      </c>
      <c r="Q1366" s="13"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366" s="13"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S1366" s="13"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1366" s="13" t="str">
        <f>INDEX($L:$L, MATCH("designate", $B:$B, 0))</f>
        <v>&lt;span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v>
      </c>
      <c r="U1366" s="13"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U1366" s="15"/>
      <c r="AV1366" s="1" t="s">
        <v>38</v>
      </c>
      <c r="BG1366" s="7" t="s">
        <v>1242</v>
      </c>
      <c r="BH1366" s="1" t="s">
        <v>1947</v>
      </c>
      <c r="BI1366" s="2" t="s">
        <v>6640</v>
      </c>
      <c r="BJ1366" s="1" t="s">
        <v>1967</v>
      </c>
      <c r="BK1366" s="1" t="s">
        <v>6641</v>
      </c>
      <c r="BL1366" s="1" t="s">
        <v>1996</v>
      </c>
      <c r="BM1366" s="2" t="s">
        <v>6642</v>
      </c>
      <c r="BN1366" s="1" t="s">
        <v>1877</v>
      </c>
      <c r="BO1366" s="2" t="s">
        <v>6643</v>
      </c>
    </row>
    <row r="1367" spans="1:69" ht="144" x14ac:dyDescent="0.45">
      <c r="A1367" s="5">
        <v>1366</v>
      </c>
      <c r="B1367" s="8" t="s">
        <v>1103</v>
      </c>
      <c r="C1367" s="6" t="s">
        <v>6851</v>
      </c>
      <c r="D1367" s="7" t="s">
        <v>9794</v>
      </c>
      <c r="E1367" s="1" t="s">
        <v>1326</v>
      </c>
      <c r="F1367" s="1" t="s">
        <v>6644</v>
      </c>
      <c r="G1367" s="1"/>
      <c r="J1367" s="1" t="s">
        <v>9795</v>
      </c>
      <c r="L1367" s="2" t="s">
        <v>9897</v>
      </c>
      <c r="M1367" s="1" t="s">
        <v>12261</v>
      </c>
      <c r="P1367" s="7" t="s">
        <v>1241</v>
      </c>
      <c r="Q1367" s="13"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1367" s="13"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1367" s="13"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1367" s="13"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1367" s="13"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1367" s="13"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AU1367" s="15"/>
      <c r="AV1367" s="1" t="s">
        <v>38</v>
      </c>
      <c r="BG1367" s="7" t="s">
        <v>1242</v>
      </c>
      <c r="BH1367" s="1" t="s">
        <v>1947</v>
      </c>
      <c r="BI1367" s="2" t="s">
        <v>6645</v>
      </c>
      <c r="BJ1367" s="1" t="s">
        <v>1877</v>
      </c>
      <c r="BK1367" s="2" t="s">
        <v>6646</v>
      </c>
    </row>
    <row r="1368" spans="1:69" ht="198" x14ac:dyDescent="0.45">
      <c r="A1368" s="5">
        <v>1367</v>
      </c>
      <c r="B1368" s="6" t="s">
        <v>1104</v>
      </c>
      <c r="C1368" s="6" t="s">
        <v>6851</v>
      </c>
      <c r="D1368" s="7" t="s">
        <v>9794</v>
      </c>
      <c r="E1368" s="1" t="s">
        <v>6320</v>
      </c>
      <c r="F1368" s="1" t="s">
        <v>1584</v>
      </c>
      <c r="G1368" s="1"/>
      <c r="J1368" s="1" t="s">
        <v>9795</v>
      </c>
      <c r="L1368" s="3" t="s">
        <v>9907</v>
      </c>
      <c r="P1368" s="7" t="s">
        <v>1241</v>
      </c>
      <c r="Q1368" s="13" t="str">
        <f>INDEX($L:$L, MATCH("intuition", $B:$B, 0))</f>
        <v>&lt;span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v>
      </c>
      <c r="AU1368" s="15"/>
      <c r="AV1368" s="1" t="s">
        <v>38</v>
      </c>
      <c r="BG1368" s="7" t="s">
        <v>1242</v>
      </c>
      <c r="BH1368" s="1" t="s">
        <v>1947</v>
      </c>
      <c r="BI1368" s="2" t="s">
        <v>6647</v>
      </c>
      <c r="BJ1368" s="1" t="s">
        <v>1959</v>
      </c>
      <c r="BK1368" s="1" t="s">
        <v>6648</v>
      </c>
      <c r="BL1368" s="1" t="s">
        <v>2114</v>
      </c>
      <c r="BM1368" s="2" t="s">
        <v>6649</v>
      </c>
      <c r="BN1368" s="1" t="s">
        <v>1875</v>
      </c>
      <c r="BO1368" s="2" t="s">
        <v>6650</v>
      </c>
      <c r="BP1368" s="1" t="s">
        <v>1877</v>
      </c>
      <c r="BQ1368" s="2" t="s">
        <v>6651</v>
      </c>
    </row>
    <row r="1369" spans="1:69" ht="126" x14ac:dyDescent="0.45">
      <c r="A1369" s="5">
        <v>1368</v>
      </c>
      <c r="B1369" s="6" t="s">
        <v>1105</v>
      </c>
      <c r="C1369" s="6" t="s">
        <v>6851</v>
      </c>
      <c r="D1369" s="7" t="s">
        <v>9794</v>
      </c>
      <c r="E1369" s="1" t="s">
        <v>27</v>
      </c>
      <c r="F1369" s="1" t="s">
        <v>5737</v>
      </c>
      <c r="G1369" s="1"/>
      <c r="J1369" s="1" t="s">
        <v>9795</v>
      </c>
      <c r="K1369" s="1" t="s">
        <v>6652</v>
      </c>
      <c r="L1369" s="2" t="s">
        <v>9898</v>
      </c>
      <c r="P1369" s="7" t="s">
        <v>1241</v>
      </c>
      <c r="Q1369" s="13" t="str">
        <f>INDEX($L:$L, MATCH("undertake", $B:$B, 0))</f>
        <v>&lt;span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v>
      </c>
      <c r="AU1369" s="15"/>
      <c r="AV1369" s="1" t="s">
        <v>38</v>
      </c>
      <c r="BG1369" s="7" t="s">
        <v>1242</v>
      </c>
      <c r="BH1369" s="1" t="s">
        <v>1877</v>
      </c>
      <c r="BI1369" s="2" t="s">
        <v>6653</v>
      </c>
    </row>
    <row r="1370" spans="1:69" ht="270" x14ac:dyDescent="0.45">
      <c r="A1370" s="5">
        <v>1369</v>
      </c>
      <c r="B1370" s="8" t="s">
        <v>1106</v>
      </c>
      <c r="C1370" s="6" t="s">
        <v>6851</v>
      </c>
      <c r="D1370" s="7" t="s">
        <v>9794</v>
      </c>
      <c r="E1370" s="1" t="s">
        <v>6654</v>
      </c>
      <c r="F1370" s="1" t="s">
        <v>6655</v>
      </c>
      <c r="G1370" s="1"/>
      <c r="J1370" s="1" t="s">
        <v>9795</v>
      </c>
      <c r="L1370" s="3" t="s">
        <v>9899</v>
      </c>
      <c r="M1370" s="1" t="s">
        <v>12189</v>
      </c>
      <c r="P1370" s="7" t="s">
        <v>1241</v>
      </c>
      <c r="Q1370"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1370"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1370" s="13"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1370" s="13"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1370"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370"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W1370"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X1370" s="13"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Y1370"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Z1370"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1370" s="15"/>
      <c r="AV1370" s="1" t="s">
        <v>38</v>
      </c>
      <c r="BG1370" s="7" t="s">
        <v>1242</v>
      </c>
      <c r="BH1370" s="1" t="s">
        <v>1947</v>
      </c>
      <c r="BI1370" s="2" t="s">
        <v>6656</v>
      </c>
      <c r="BJ1370" s="1" t="s">
        <v>1877</v>
      </c>
      <c r="BK1370" s="2" t="s">
        <v>6657</v>
      </c>
      <c r="BL1370" s="1" t="s">
        <v>3497</v>
      </c>
      <c r="BM1370" s="2" t="s">
        <v>6658</v>
      </c>
    </row>
    <row r="1371" spans="1:69" ht="126" x14ac:dyDescent="0.45">
      <c r="A1371" s="5">
        <v>1370</v>
      </c>
      <c r="B1371" s="6" t="s">
        <v>1107</v>
      </c>
      <c r="C1371" s="6" t="s">
        <v>6851</v>
      </c>
      <c r="D1371" s="7" t="s">
        <v>9794</v>
      </c>
      <c r="E1371" s="1" t="s">
        <v>6659</v>
      </c>
      <c r="F1371" s="1" t="s">
        <v>5415</v>
      </c>
      <c r="G1371" s="1"/>
      <c r="J1371" s="1" t="s">
        <v>9795</v>
      </c>
      <c r="L1371" s="3" t="s">
        <v>9908</v>
      </c>
      <c r="P1371" s="7" t="s">
        <v>1241</v>
      </c>
      <c r="AV1371" s="1" t="s">
        <v>38</v>
      </c>
      <c r="BG1371" s="7" t="s">
        <v>1242</v>
      </c>
      <c r="BH1371" s="1" t="s">
        <v>1872</v>
      </c>
      <c r="BI1371" s="1" t="s">
        <v>6660</v>
      </c>
      <c r="BJ1371" s="1" t="s">
        <v>1875</v>
      </c>
      <c r="BK1371" s="2" t="s">
        <v>6661</v>
      </c>
    </row>
    <row r="1372" spans="1:69" ht="126" x14ac:dyDescent="0.45">
      <c r="A1372" s="5">
        <v>1371</v>
      </c>
      <c r="B1372" s="6" t="s">
        <v>1108</v>
      </c>
      <c r="C1372" s="6" t="s">
        <v>6851</v>
      </c>
      <c r="D1372" s="7" t="s">
        <v>9794</v>
      </c>
      <c r="E1372" s="1" t="s">
        <v>1108</v>
      </c>
      <c r="F1372" s="1"/>
      <c r="G1372" s="1"/>
      <c r="J1372" s="1" t="s">
        <v>9795</v>
      </c>
      <c r="K1372" s="1" t="s">
        <v>9909</v>
      </c>
      <c r="L1372" s="2" t="s">
        <v>9910</v>
      </c>
      <c r="P1372" s="7" t="s">
        <v>1241</v>
      </c>
      <c r="AV1372" s="1" t="s">
        <v>38</v>
      </c>
      <c r="BG1372" s="7" t="s">
        <v>1242</v>
      </c>
      <c r="BH1372" s="1" t="s">
        <v>2110</v>
      </c>
      <c r="BI1372" s="1" t="s">
        <v>6662</v>
      </c>
      <c r="BJ1372" s="1" t="s">
        <v>1875</v>
      </c>
      <c r="BK1372" s="2" t="s">
        <v>6663</v>
      </c>
      <c r="BL1372" s="1" t="s">
        <v>1877</v>
      </c>
      <c r="BM1372" s="2" t="s">
        <v>6664</v>
      </c>
    </row>
    <row r="1373" spans="1:69" ht="324" x14ac:dyDescent="0.45">
      <c r="A1373" s="5">
        <v>1372</v>
      </c>
      <c r="B1373" s="6" t="s">
        <v>1109</v>
      </c>
      <c r="C1373" s="6" t="s">
        <v>6851</v>
      </c>
      <c r="D1373" s="7" t="s">
        <v>9794</v>
      </c>
      <c r="E1373" s="6" t="s">
        <v>1109</v>
      </c>
      <c r="F1373" s="1"/>
      <c r="G1373" s="1"/>
      <c r="J1373" s="1" t="s">
        <v>9795</v>
      </c>
      <c r="L1373" s="3" t="s">
        <v>9911</v>
      </c>
      <c r="P1373" s="7" t="s">
        <v>1241</v>
      </c>
      <c r="AV1373" s="1" t="s">
        <v>38</v>
      </c>
      <c r="BG1373" s="7" t="s">
        <v>1242</v>
      </c>
      <c r="BH1373" s="1" t="s">
        <v>1947</v>
      </c>
      <c r="BI1373" s="1" t="s">
        <v>6665</v>
      </c>
      <c r="BJ1373" s="1" t="s">
        <v>1959</v>
      </c>
      <c r="BK1373" s="2" t="s">
        <v>6666</v>
      </c>
      <c r="BL1373" s="1" t="s">
        <v>1875</v>
      </c>
      <c r="BM1373" s="2" t="s">
        <v>6667</v>
      </c>
      <c r="BN1373" s="1" t="s">
        <v>1877</v>
      </c>
      <c r="BO1373" s="2" t="s">
        <v>6668</v>
      </c>
    </row>
    <row r="1374" spans="1:69" ht="144" x14ac:dyDescent="0.45">
      <c r="A1374" s="5">
        <v>1373</v>
      </c>
      <c r="B1374" s="6" t="s">
        <v>1110</v>
      </c>
      <c r="C1374" s="6" t="s">
        <v>6851</v>
      </c>
      <c r="D1374" s="7" t="s">
        <v>9794</v>
      </c>
      <c r="E1374" s="1" t="s">
        <v>1110</v>
      </c>
      <c r="F1374" s="1"/>
      <c r="G1374" s="1"/>
      <c r="J1374" s="1" t="s">
        <v>9795</v>
      </c>
      <c r="L1374" s="3" t="s">
        <v>9944</v>
      </c>
      <c r="P1374" s="7" t="s">
        <v>1241</v>
      </c>
      <c r="Q1374" s="13" t="str">
        <f>INDEX($L:$L, MATCH("gravity", $B:$B, 0))</f>
        <v>&lt;span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v>
      </c>
      <c r="AU1374" s="15"/>
      <c r="AV1374" s="1" t="s">
        <v>38</v>
      </c>
      <c r="BG1374" s="7" t="s">
        <v>1242</v>
      </c>
      <c r="BH1374" s="1" t="s">
        <v>1976</v>
      </c>
      <c r="BI1374" s="2" t="s">
        <v>6669</v>
      </c>
      <c r="BJ1374" s="1" t="s">
        <v>1947</v>
      </c>
      <c r="BK1374" s="2" t="s">
        <v>6670</v>
      </c>
      <c r="BL1374" s="1" t="s">
        <v>1959</v>
      </c>
      <c r="BM1374" s="2" t="s">
        <v>6671</v>
      </c>
      <c r="BN1374" s="1" t="s">
        <v>1875</v>
      </c>
      <c r="BO1374" s="2" t="s">
        <v>6672</v>
      </c>
    </row>
    <row r="1375" spans="1:69" ht="144" x14ac:dyDescent="0.45">
      <c r="A1375" s="5">
        <v>1374</v>
      </c>
      <c r="B1375" s="6" t="s">
        <v>1111</v>
      </c>
      <c r="C1375" s="6" t="s">
        <v>6851</v>
      </c>
      <c r="D1375" s="7" t="s">
        <v>9794</v>
      </c>
      <c r="E1375" s="1" t="s">
        <v>1327</v>
      </c>
      <c r="F1375" s="1" t="s">
        <v>6673</v>
      </c>
      <c r="G1375" s="1" t="s">
        <v>1946</v>
      </c>
      <c r="J1375" s="1" t="s">
        <v>9795</v>
      </c>
      <c r="L1375" s="2" t="s">
        <v>9912</v>
      </c>
      <c r="P1375" s="7" t="s">
        <v>1241</v>
      </c>
      <c r="Q1375"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1375"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375"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1375"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1375"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1375"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1375"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1375"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1375"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1375"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1375"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B1375"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C1375"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D1375"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E1375"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U1375" s="15"/>
      <c r="AV1375" s="1" t="s">
        <v>38</v>
      </c>
      <c r="BG1375" s="7" t="s">
        <v>1242</v>
      </c>
      <c r="BH1375" s="1" t="s">
        <v>1947</v>
      </c>
      <c r="BI1375" s="2" t="s">
        <v>6674</v>
      </c>
      <c r="BJ1375" s="1" t="s">
        <v>1959</v>
      </c>
      <c r="BK1375" s="2" t="s">
        <v>6675</v>
      </c>
      <c r="BL1375" s="1" t="s">
        <v>1875</v>
      </c>
      <c r="BM1375" s="2" t="s">
        <v>6676</v>
      </c>
    </row>
    <row r="1376" spans="1:69" ht="54" x14ac:dyDescent="0.45">
      <c r="A1376" s="5">
        <v>1375</v>
      </c>
      <c r="B1376" s="6" t="s">
        <v>1112</v>
      </c>
      <c r="C1376" s="6" t="s">
        <v>6851</v>
      </c>
      <c r="D1376" s="7" t="s">
        <v>9794</v>
      </c>
      <c r="E1376" s="1" t="s">
        <v>1112</v>
      </c>
      <c r="F1376" s="1"/>
      <c r="G1376" s="1"/>
      <c r="J1376" s="1" t="s">
        <v>9795</v>
      </c>
      <c r="L1376" s="2" t="s">
        <v>9913</v>
      </c>
      <c r="P1376" s="7" t="s">
        <v>1241</v>
      </c>
      <c r="AV1376" s="1" t="s">
        <v>38</v>
      </c>
      <c r="BG1376" s="7" t="s">
        <v>1242</v>
      </c>
      <c r="BH1376" s="1" t="s">
        <v>2110</v>
      </c>
      <c r="BI1376" s="1" t="s">
        <v>6677</v>
      </c>
      <c r="BJ1376" s="1" t="s">
        <v>1875</v>
      </c>
      <c r="BK1376" s="2" t="s">
        <v>6678</v>
      </c>
    </row>
    <row r="1377" spans="1:71" ht="126" x14ac:dyDescent="0.45">
      <c r="A1377" s="5">
        <v>1376</v>
      </c>
      <c r="B1377" s="6" t="s">
        <v>1113</v>
      </c>
      <c r="C1377" s="6" t="s">
        <v>6851</v>
      </c>
      <c r="D1377" s="7" t="s">
        <v>9794</v>
      </c>
      <c r="E1377" s="1" t="s">
        <v>1113</v>
      </c>
      <c r="F1377" s="1"/>
      <c r="G1377" s="1"/>
      <c r="J1377" s="1" t="s">
        <v>9795</v>
      </c>
      <c r="K1377" s="1" t="s">
        <v>9914</v>
      </c>
      <c r="L1377" s="3" t="s">
        <v>9915</v>
      </c>
      <c r="P1377" s="7" t="s">
        <v>1241</v>
      </c>
      <c r="AV1377" s="1" t="s">
        <v>38</v>
      </c>
      <c r="BG1377" s="7" t="s">
        <v>1242</v>
      </c>
      <c r="BH1377" s="1" t="s">
        <v>2458</v>
      </c>
      <c r="BI1377" s="1" t="s">
        <v>6679</v>
      </c>
      <c r="BJ1377" s="1" t="s">
        <v>2036</v>
      </c>
      <c r="BK1377" s="1" t="s">
        <v>6680</v>
      </c>
      <c r="BL1377" s="1" t="s">
        <v>1967</v>
      </c>
      <c r="BM1377" s="1" t="s">
        <v>6681</v>
      </c>
      <c r="BN1377" s="1" t="s">
        <v>1959</v>
      </c>
      <c r="BO1377" s="1" t="s">
        <v>6682</v>
      </c>
      <c r="BP1377" s="1" t="s">
        <v>2114</v>
      </c>
      <c r="BQ1377" s="2" t="s">
        <v>6683</v>
      </c>
      <c r="BR1377" s="1" t="s">
        <v>1875</v>
      </c>
      <c r="BS1377" s="2" t="s">
        <v>6684</v>
      </c>
    </row>
    <row r="1378" spans="1:71" ht="90" x14ac:dyDescent="0.45">
      <c r="A1378" s="5">
        <v>1377</v>
      </c>
      <c r="B1378" s="6" t="s">
        <v>1114</v>
      </c>
      <c r="C1378" s="6" t="s">
        <v>6851</v>
      </c>
      <c r="D1378" s="7" t="s">
        <v>9794</v>
      </c>
      <c r="E1378" s="1" t="s">
        <v>1114</v>
      </c>
      <c r="F1378" s="1"/>
      <c r="G1378" s="1"/>
      <c r="J1378" s="1" t="s">
        <v>9795</v>
      </c>
      <c r="K1378" s="1" t="s">
        <v>6685</v>
      </c>
      <c r="L1378" s="2" t="s">
        <v>9916</v>
      </c>
      <c r="P1378" s="7" t="s">
        <v>1241</v>
      </c>
      <c r="AU1378" s="15"/>
      <c r="AV1378" s="1" t="s">
        <v>38</v>
      </c>
      <c r="BG1378" s="7" t="s">
        <v>1242</v>
      </c>
      <c r="BH1378" s="1" t="s">
        <v>3772</v>
      </c>
      <c r="BI1378" s="2" t="s">
        <v>6686</v>
      </c>
      <c r="BJ1378" s="1" t="s">
        <v>2036</v>
      </c>
      <c r="BK1378" s="1" t="s">
        <v>6687</v>
      </c>
      <c r="BL1378" s="1" t="s">
        <v>2026</v>
      </c>
      <c r="BM1378" s="1" t="s">
        <v>6688</v>
      </c>
      <c r="BN1378" s="1" t="s">
        <v>4000</v>
      </c>
      <c r="BO1378" s="1" t="s">
        <v>6689</v>
      </c>
      <c r="BP1378" s="1" t="s">
        <v>1872</v>
      </c>
      <c r="BQ1378" s="2" t="s">
        <v>9917</v>
      </c>
    </row>
    <row r="1379" spans="1:71" ht="162" x14ac:dyDescent="0.45">
      <c r="A1379" s="5">
        <v>1378</v>
      </c>
      <c r="B1379" s="6" t="s">
        <v>1115</v>
      </c>
      <c r="C1379" s="6" t="s">
        <v>6851</v>
      </c>
      <c r="D1379" s="7" t="s">
        <v>9794</v>
      </c>
      <c r="E1379" s="1" t="s">
        <v>9047</v>
      </c>
      <c r="F1379" s="1" t="s">
        <v>6928</v>
      </c>
      <c r="G1379" s="1"/>
      <c r="J1379" s="1" t="s">
        <v>9795</v>
      </c>
      <c r="L1379" s="2" t="s">
        <v>9918</v>
      </c>
      <c r="P1379" s="7" t="s">
        <v>1241</v>
      </c>
      <c r="AU1379" s="15"/>
      <c r="AV1379" s="1" t="s">
        <v>38</v>
      </c>
      <c r="BG1379" s="7" t="s">
        <v>1242</v>
      </c>
      <c r="BH1379" s="1" t="s">
        <v>2129</v>
      </c>
      <c r="BI1379" s="2" t="s">
        <v>6690</v>
      </c>
      <c r="BJ1379" s="1" t="s">
        <v>2044</v>
      </c>
      <c r="BK1379" s="1" t="s">
        <v>6691</v>
      </c>
    </row>
    <row r="1380" spans="1:71" ht="180" x14ac:dyDescent="0.45">
      <c r="A1380" s="5">
        <v>1379</v>
      </c>
      <c r="B1380" s="6" t="s">
        <v>6692</v>
      </c>
      <c r="C1380" s="6" t="s">
        <v>6852</v>
      </c>
      <c r="D1380" s="7" t="s">
        <v>9794</v>
      </c>
      <c r="E1380" s="1" t="s">
        <v>1660</v>
      </c>
      <c r="F1380" s="1" t="s">
        <v>9048</v>
      </c>
      <c r="G1380" s="1"/>
      <c r="J1380" s="1" t="s">
        <v>9795</v>
      </c>
      <c r="L1380" s="3" t="s">
        <v>9945</v>
      </c>
      <c r="P1380" s="7" t="s">
        <v>1241</v>
      </c>
      <c r="Q1380" s="13"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U1380" s="15"/>
      <c r="AV1380" s="1" t="s">
        <v>38</v>
      </c>
      <c r="BG1380" s="7" t="s">
        <v>1242</v>
      </c>
      <c r="BH1380" s="1" t="s">
        <v>1883</v>
      </c>
      <c r="BI1380" s="2" t="s">
        <v>6693</v>
      </c>
    </row>
    <row r="1381" spans="1:71" ht="162" x14ac:dyDescent="0.45">
      <c r="A1381" s="5">
        <v>1380</v>
      </c>
      <c r="B1381" s="6" t="s">
        <v>6694</v>
      </c>
      <c r="C1381" s="6" t="s">
        <v>6852</v>
      </c>
      <c r="D1381" s="7" t="s">
        <v>9794</v>
      </c>
      <c r="E1381" s="1" t="s">
        <v>1941</v>
      </c>
      <c r="F1381" s="1" t="s">
        <v>6695</v>
      </c>
      <c r="G1381" s="1" t="s">
        <v>1920</v>
      </c>
      <c r="J1381" s="1" t="s">
        <v>9795</v>
      </c>
      <c r="L1381" s="2" t="s">
        <v>9919</v>
      </c>
      <c r="M1381" s="1" t="s">
        <v>12223</v>
      </c>
      <c r="P1381" s="7" t="s">
        <v>1241</v>
      </c>
      <c r="Q1381"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381"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381"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381"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1381"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V1381"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W1381"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X1381"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Y1381"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1381"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381" s="15"/>
      <c r="AV1381" s="1" t="s">
        <v>38</v>
      </c>
      <c r="BG1381" s="7" t="s">
        <v>1242</v>
      </c>
      <c r="BH1381" s="1" t="s">
        <v>2034</v>
      </c>
      <c r="BI1381" s="2" t="s">
        <v>6696</v>
      </c>
      <c r="BJ1381" s="1" t="s">
        <v>6697</v>
      </c>
      <c r="BK1381" s="1" t="s">
        <v>6698</v>
      </c>
      <c r="BL1381" s="1" t="s">
        <v>2044</v>
      </c>
      <c r="BM1381" s="2" t="s">
        <v>6699</v>
      </c>
      <c r="BN1381" s="1" t="s">
        <v>1883</v>
      </c>
      <c r="BO1381" s="2" t="s">
        <v>6700</v>
      </c>
    </row>
    <row r="1382" spans="1:71" ht="144" x14ac:dyDescent="0.45">
      <c r="A1382" s="5">
        <v>1381</v>
      </c>
      <c r="B1382" s="8" t="s">
        <v>1116</v>
      </c>
      <c r="C1382" s="6" t="s">
        <v>6852</v>
      </c>
      <c r="D1382" s="7" t="s">
        <v>9794</v>
      </c>
      <c r="E1382" s="1" t="s">
        <v>27</v>
      </c>
      <c r="F1382" s="1" t="s">
        <v>9049</v>
      </c>
      <c r="G1382" s="1"/>
      <c r="J1382" s="1" t="s">
        <v>9795</v>
      </c>
      <c r="K1382" s="1" t="s">
        <v>6702</v>
      </c>
      <c r="L1382" s="2" t="s">
        <v>9920</v>
      </c>
      <c r="M1382" s="1" t="s">
        <v>12227</v>
      </c>
      <c r="P1382" s="7" t="s">
        <v>1241</v>
      </c>
      <c r="Q1382" s="13"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R1382" s="13"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S1382" s="13"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T1382" s="13"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AU1382" s="15"/>
      <c r="AV1382" s="1" t="s">
        <v>38</v>
      </c>
      <c r="BG1382" s="7" t="s">
        <v>1242</v>
      </c>
      <c r="BH1382" s="1" t="s">
        <v>2034</v>
      </c>
      <c r="BI1382" s="2" t="s">
        <v>6703</v>
      </c>
      <c r="BJ1382" s="1" t="s">
        <v>6697</v>
      </c>
      <c r="BK1382" s="2" t="s">
        <v>6704</v>
      </c>
      <c r="BL1382" s="1" t="s">
        <v>2044</v>
      </c>
      <c r="BM1382" s="2" t="s">
        <v>6705</v>
      </c>
    </row>
    <row r="1383" spans="1:71" ht="180" x14ac:dyDescent="0.45">
      <c r="A1383" s="5">
        <v>1382</v>
      </c>
      <c r="B1383" s="8" t="s">
        <v>6706</v>
      </c>
      <c r="C1383" s="6" t="s">
        <v>6852</v>
      </c>
      <c r="D1383" s="7" t="s">
        <v>9794</v>
      </c>
      <c r="E1383" s="1" t="s">
        <v>143</v>
      </c>
      <c r="F1383" s="1" t="s">
        <v>9050</v>
      </c>
      <c r="G1383" s="1"/>
      <c r="J1383" s="1" t="s">
        <v>9795</v>
      </c>
      <c r="K1383" s="1" t="s">
        <v>6707</v>
      </c>
      <c r="L1383" s="2" t="s">
        <v>9921</v>
      </c>
      <c r="P1383" s="7" t="s">
        <v>1241</v>
      </c>
      <c r="Q1383" s="13" t="str">
        <f>INDEX($L:$L, MATCH("worth", $B:$B, 0))</f>
        <v>&lt;span class="w"&gt;&lt;b&gt;【191.worth：価値がある, 値する】&lt;/b&gt;&lt;/span&gt;
&lt;span class="ml"&gt;古英語weorþ（価値がある）に由来する。
&lt;span class="spacer"&gt;&lt;/span&gt;古英語から意味の変化はほとんどない。&lt;/span&gt;</v>
      </c>
      <c r="AU1383" s="15"/>
      <c r="AV1383" s="1" t="s">
        <v>38</v>
      </c>
      <c r="BG1383" s="7" t="s">
        <v>1242</v>
      </c>
      <c r="BH1383" s="1" t="s">
        <v>2129</v>
      </c>
      <c r="BI1383" s="2" t="s">
        <v>6708</v>
      </c>
      <c r="BJ1383" s="1" t="s">
        <v>2044</v>
      </c>
      <c r="BK1383" s="2" t="s">
        <v>6709</v>
      </c>
      <c r="BL1383" s="1" t="s">
        <v>1883</v>
      </c>
      <c r="BM1383" s="2" t="s">
        <v>6710</v>
      </c>
    </row>
    <row r="1384" spans="1:71" ht="396" x14ac:dyDescent="0.45">
      <c r="A1384" s="5">
        <v>1383</v>
      </c>
      <c r="B1384" s="8" t="s">
        <v>1117</v>
      </c>
      <c r="C1384" s="6" t="s">
        <v>6852</v>
      </c>
      <c r="D1384" s="7" t="s">
        <v>9794</v>
      </c>
      <c r="E1384" s="1" t="s">
        <v>27</v>
      </c>
      <c r="F1384" s="1" t="s">
        <v>9051</v>
      </c>
      <c r="G1384" s="1" t="s">
        <v>1456</v>
      </c>
      <c r="J1384" s="1" t="s">
        <v>9795</v>
      </c>
      <c r="K1384" s="2"/>
      <c r="L1384" s="2" t="s">
        <v>9922</v>
      </c>
      <c r="M1384" s="1" t="s">
        <v>12276</v>
      </c>
      <c r="P1384" s="7" t="s">
        <v>1241</v>
      </c>
      <c r="Q1384" s="13"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1384" s="13"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1384" s="13"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T1384" s="13"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1384" s="13"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V1384" s="13"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AU1384" s="15"/>
      <c r="AV1384" s="1" t="s">
        <v>38</v>
      </c>
      <c r="BG1384" s="7" t="s">
        <v>1242</v>
      </c>
      <c r="BH1384" s="1" t="s">
        <v>2034</v>
      </c>
      <c r="BI1384" s="2" t="s">
        <v>9923</v>
      </c>
      <c r="BJ1384" s="1" t="s">
        <v>1980</v>
      </c>
      <c r="BK1384" s="2" t="s">
        <v>9924</v>
      </c>
      <c r="BL1384" s="1" t="s">
        <v>1883</v>
      </c>
      <c r="BM1384" s="2" t="s">
        <v>6711</v>
      </c>
    </row>
    <row r="1385" spans="1:71" ht="234" x14ac:dyDescent="0.45">
      <c r="A1385" s="5">
        <v>1384</v>
      </c>
      <c r="B1385" s="6" t="s">
        <v>1118</v>
      </c>
      <c r="C1385" s="6" t="s">
        <v>6852</v>
      </c>
      <c r="D1385" s="7" t="s">
        <v>9794</v>
      </c>
      <c r="E1385" s="1" t="s">
        <v>1467</v>
      </c>
      <c r="F1385" s="1" t="s">
        <v>9052</v>
      </c>
      <c r="G1385" s="1" t="s">
        <v>3331</v>
      </c>
      <c r="J1385" s="1" t="s">
        <v>9795</v>
      </c>
      <c r="L1385" s="2" t="s">
        <v>9925</v>
      </c>
      <c r="P1385" s="7" t="s">
        <v>1241</v>
      </c>
      <c r="Q1385" s="13"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R1385" s="13"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S1385" s="13"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AU1385" s="15"/>
      <c r="AV1385" s="1" t="s">
        <v>38</v>
      </c>
      <c r="BG1385" s="7" t="s">
        <v>1242</v>
      </c>
      <c r="BH1385" s="1" t="s">
        <v>2034</v>
      </c>
      <c r="BI1385" s="2" t="s">
        <v>6712</v>
      </c>
      <c r="BJ1385" s="1" t="s">
        <v>1980</v>
      </c>
      <c r="BK1385" s="2" t="s">
        <v>6713</v>
      </c>
      <c r="BL1385" s="1" t="s">
        <v>1883</v>
      </c>
      <c r="BM1385" s="2" t="s">
        <v>6714</v>
      </c>
    </row>
    <row r="1386" spans="1:71" ht="180" x14ac:dyDescent="0.45">
      <c r="A1386" s="5">
        <v>1385</v>
      </c>
      <c r="B1386" s="8" t="s">
        <v>1119</v>
      </c>
      <c r="C1386" s="6" t="s">
        <v>6852</v>
      </c>
      <c r="D1386" s="7" t="s">
        <v>9794</v>
      </c>
      <c r="E1386" s="1" t="s">
        <v>9053</v>
      </c>
      <c r="F1386" s="1" t="s">
        <v>1456</v>
      </c>
      <c r="G1386" s="1"/>
      <c r="J1386" s="1" t="s">
        <v>9795</v>
      </c>
      <c r="L1386" s="2" t="s">
        <v>9926</v>
      </c>
      <c r="M1386" s="1" t="s">
        <v>12247</v>
      </c>
      <c r="P1386" s="7" t="s">
        <v>1241</v>
      </c>
      <c r="Q1386" s="13" t="str">
        <f>INDEX($L:$L, MATCH("prove", $B:$B, 0))</f>
        <v>&lt;span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v>
      </c>
      <c r="R1386" s="13" t="str">
        <f>INDEX($L:$L, MATCH("approve", $B:$B, 0))</f>
        <v>&lt;span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v>
      </c>
      <c r="AU1386" s="15"/>
      <c r="AV1386" s="1" t="s">
        <v>38</v>
      </c>
      <c r="BG1386" s="7" t="s">
        <v>1242</v>
      </c>
      <c r="BH1386" s="1" t="s">
        <v>2034</v>
      </c>
      <c r="BI1386" s="2" t="s">
        <v>6715</v>
      </c>
      <c r="BJ1386" s="1" t="s">
        <v>6697</v>
      </c>
      <c r="BK1386" s="2" t="s">
        <v>6716</v>
      </c>
      <c r="BL1386" s="1" t="s">
        <v>2044</v>
      </c>
      <c r="BM1386" s="2" t="s">
        <v>6717</v>
      </c>
    </row>
    <row r="1387" spans="1:71" ht="198" x14ac:dyDescent="0.45">
      <c r="A1387" s="5">
        <v>1386</v>
      </c>
      <c r="B1387" s="8" t="s">
        <v>6718</v>
      </c>
      <c r="C1387" s="6" t="s">
        <v>6852</v>
      </c>
      <c r="D1387" s="7" t="s">
        <v>9794</v>
      </c>
      <c r="E1387" s="1" t="s">
        <v>9054</v>
      </c>
      <c r="F1387" s="1" t="s">
        <v>9055</v>
      </c>
      <c r="G1387" s="1" t="s">
        <v>9056</v>
      </c>
      <c r="J1387" s="1" t="s">
        <v>9795</v>
      </c>
      <c r="L1387" s="3" t="s">
        <v>9946</v>
      </c>
      <c r="M1387" s="1" t="s">
        <v>12269</v>
      </c>
      <c r="P1387" s="7" t="s">
        <v>1241</v>
      </c>
      <c r="Q1387"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387"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1387" s="13"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1387"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1387" s="13"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1387" s="13"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1387" s="13"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X1387" s="13"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AU1387" s="15"/>
      <c r="AV1387" s="1" t="s">
        <v>38</v>
      </c>
      <c r="BG1387" s="7" t="s">
        <v>1242</v>
      </c>
      <c r="BH1387" s="1" t="s">
        <v>2034</v>
      </c>
      <c r="BI1387" s="2" t="s">
        <v>6719</v>
      </c>
      <c r="BJ1387" s="1" t="s">
        <v>1883</v>
      </c>
      <c r="BK1387" s="2" t="s">
        <v>6720</v>
      </c>
    </row>
    <row r="1388" spans="1:71" ht="144" x14ac:dyDescent="0.45">
      <c r="A1388" s="5">
        <v>1387</v>
      </c>
      <c r="B1388" s="6" t="s">
        <v>6721</v>
      </c>
      <c r="C1388" s="6" t="s">
        <v>6852</v>
      </c>
      <c r="D1388" s="7" t="s">
        <v>9794</v>
      </c>
      <c r="E1388" s="1" t="s">
        <v>1397</v>
      </c>
      <c r="F1388" s="1" t="s">
        <v>9057</v>
      </c>
      <c r="G1388" s="1"/>
      <c r="J1388" s="1" t="s">
        <v>9795</v>
      </c>
      <c r="L1388" s="3" t="s">
        <v>9927</v>
      </c>
      <c r="P1388" s="7" t="s">
        <v>1241</v>
      </c>
      <c r="AU1388" s="15"/>
      <c r="AV1388" s="1" t="s">
        <v>38</v>
      </c>
      <c r="BG1388" s="7" t="s">
        <v>1242</v>
      </c>
      <c r="BH1388" s="1" t="s">
        <v>2034</v>
      </c>
      <c r="BI1388" s="2" t="s">
        <v>6722</v>
      </c>
      <c r="BJ1388" s="1" t="s">
        <v>6697</v>
      </c>
      <c r="BK1388" s="1" t="s">
        <v>6723</v>
      </c>
      <c r="BL1388" s="1" t="s">
        <v>2044</v>
      </c>
      <c r="BM1388" s="2" t="s">
        <v>6724</v>
      </c>
      <c r="BN1388" s="1" t="s">
        <v>1883</v>
      </c>
      <c r="BO1388" s="2" t="s">
        <v>6725</v>
      </c>
    </row>
    <row r="1389" spans="1:71" ht="198" x14ac:dyDescent="0.45">
      <c r="A1389" s="5">
        <v>1388</v>
      </c>
      <c r="B1389" s="6" t="s">
        <v>6726</v>
      </c>
      <c r="C1389" s="6" t="s">
        <v>6852</v>
      </c>
      <c r="D1389" s="7" t="s">
        <v>9794</v>
      </c>
      <c r="E1389" s="1" t="s">
        <v>9058</v>
      </c>
      <c r="F1389" s="1" t="s">
        <v>1551</v>
      </c>
      <c r="G1389" s="1" t="s">
        <v>49</v>
      </c>
      <c r="J1389" s="1" t="s">
        <v>9795</v>
      </c>
      <c r="L1389" s="2" t="s">
        <v>9928</v>
      </c>
      <c r="P1389" s="7" t="s">
        <v>1241</v>
      </c>
      <c r="AU1389" s="15"/>
      <c r="AV1389" s="1" t="s">
        <v>38</v>
      </c>
      <c r="BG1389" s="7" t="s">
        <v>1242</v>
      </c>
      <c r="BH1389" s="1" t="s">
        <v>6701</v>
      </c>
      <c r="BI1389" s="2" t="s">
        <v>6727</v>
      </c>
      <c r="BJ1389" s="1" t="s">
        <v>6728</v>
      </c>
      <c r="BK1389" s="1" t="s">
        <v>6729</v>
      </c>
      <c r="BL1389" s="1" t="s">
        <v>1883</v>
      </c>
      <c r="BM1389" s="2" t="s">
        <v>6730</v>
      </c>
    </row>
    <row r="1390" spans="1:71" ht="252" x14ac:dyDescent="0.45">
      <c r="A1390" s="5">
        <v>1389</v>
      </c>
      <c r="B1390" s="6" t="s">
        <v>1120</v>
      </c>
      <c r="C1390" s="6" t="s">
        <v>6852</v>
      </c>
      <c r="D1390" s="7" t="s">
        <v>9794</v>
      </c>
      <c r="E1390" s="1" t="s">
        <v>6988</v>
      </c>
      <c r="F1390" s="1" t="s">
        <v>9059</v>
      </c>
      <c r="G1390" s="1"/>
      <c r="J1390" s="1" t="s">
        <v>9795</v>
      </c>
      <c r="L1390" s="3" t="s">
        <v>10004</v>
      </c>
      <c r="M1390" s="1" t="s">
        <v>12275</v>
      </c>
      <c r="P1390" s="7" t="s">
        <v>1241</v>
      </c>
      <c r="Q1390" s="13"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R1390" s="13"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S1390" s="13"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T1390" s="13"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AU1390" s="15"/>
      <c r="AV1390" s="1" t="s">
        <v>38</v>
      </c>
      <c r="BG1390" s="7" t="s">
        <v>1242</v>
      </c>
      <c r="BH1390" s="1" t="s">
        <v>2254</v>
      </c>
      <c r="BI1390" s="2" t="s">
        <v>6731</v>
      </c>
      <c r="BJ1390" s="1" t="s">
        <v>2034</v>
      </c>
      <c r="BK1390" s="2" t="s">
        <v>6732</v>
      </c>
      <c r="BL1390" s="1" t="s">
        <v>1504</v>
      </c>
      <c r="BM1390" s="2" t="s">
        <v>6733</v>
      </c>
      <c r="BN1390" s="1" t="s">
        <v>2017</v>
      </c>
      <c r="BO1390" s="1" t="s">
        <v>6734</v>
      </c>
      <c r="BP1390" s="1" t="s">
        <v>1883</v>
      </c>
      <c r="BQ1390" s="2" t="s">
        <v>6735</v>
      </c>
    </row>
    <row r="1391" spans="1:71" ht="162" x14ac:dyDescent="0.45">
      <c r="A1391" s="5">
        <v>1390</v>
      </c>
      <c r="B1391" s="6" t="s">
        <v>1121</v>
      </c>
      <c r="C1391" s="6" t="s">
        <v>6852</v>
      </c>
      <c r="D1391" s="7" t="s">
        <v>9794</v>
      </c>
      <c r="E1391" s="1" t="s">
        <v>9005</v>
      </c>
      <c r="F1391" s="1" t="s">
        <v>1551</v>
      </c>
      <c r="G1391" s="1"/>
      <c r="J1391" s="1" t="s">
        <v>9795</v>
      </c>
      <c r="K1391" s="1" t="s">
        <v>6736</v>
      </c>
      <c r="L1391" s="3" t="s">
        <v>9929</v>
      </c>
      <c r="P1391" s="7" t="s">
        <v>1241</v>
      </c>
      <c r="Q1391"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1391"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391"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1391"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1391"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1391"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1391"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1391"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1391"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1391"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1391"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1391"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1391"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1391"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1391"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1391" s="1" t="s">
        <v>38</v>
      </c>
      <c r="BG1391" s="7" t="s">
        <v>1242</v>
      </c>
      <c r="BH1391" s="1" t="s">
        <v>2254</v>
      </c>
      <c r="BI1391" s="1" t="s">
        <v>4783</v>
      </c>
      <c r="BJ1391" s="1" t="s">
        <v>6737</v>
      </c>
      <c r="BK1391" s="2" t="s">
        <v>9930</v>
      </c>
      <c r="BL1391" s="1" t="s">
        <v>2162</v>
      </c>
      <c r="BM1391" s="1" t="s">
        <v>6738</v>
      </c>
      <c r="BN1391" s="1" t="s">
        <v>1883</v>
      </c>
      <c r="BO1391" s="2" t="s">
        <v>6739</v>
      </c>
    </row>
    <row r="1392" spans="1:71" ht="144" x14ac:dyDescent="0.45">
      <c r="A1392" s="5">
        <v>1391</v>
      </c>
      <c r="B1392" s="8" t="s">
        <v>6740</v>
      </c>
      <c r="C1392" s="6" t="s">
        <v>6852</v>
      </c>
      <c r="D1392" s="7" t="s">
        <v>9794</v>
      </c>
      <c r="E1392" s="1" t="s">
        <v>9060</v>
      </c>
      <c r="F1392" s="1" t="s">
        <v>49</v>
      </c>
      <c r="G1392" s="1"/>
      <c r="J1392" s="1" t="s">
        <v>9795</v>
      </c>
      <c r="L1392" s="3" t="s">
        <v>9931</v>
      </c>
      <c r="M1392" s="1" t="s">
        <v>12239</v>
      </c>
      <c r="P1392" s="7" t="s">
        <v>1241</v>
      </c>
      <c r="Q1392" s="13"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1392" s="13"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1392" s="13"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T1392" s="13"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U1392" s="13"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AV1392" s="1" t="s">
        <v>38</v>
      </c>
      <c r="BG1392" s="7" t="s">
        <v>1242</v>
      </c>
      <c r="BH1392" s="1" t="s">
        <v>2034</v>
      </c>
      <c r="BI1392" s="1" t="s">
        <v>6741</v>
      </c>
      <c r="BJ1392" s="1" t="s">
        <v>1980</v>
      </c>
      <c r="BK1392" s="2" t="s">
        <v>6742</v>
      </c>
      <c r="BL1392" s="1" t="s">
        <v>2044</v>
      </c>
      <c r="BM1392" s="2" t="s">
        <v>6743</v>
      </c>
      <c r="BN1392" s="1" t="s">
        <v>1883</v>
      </c>
      <c r="BO1392" s="2" t="s">
        <v>6744</v>
      </c>
    </row>
    <row r="1393" spans="1:69" ht="126" x14ac:dyDescent="0.45">
      <c r="A1393" s="5">
        <v>1392</v>
      </c>
      <c r="B1393" s="8" t="s">
        <v>1122</v>
      </c>
      <c r="C1393" s="6" t="s">
        <v>6852</v>
      </c>
      <c r="D1393" s="7" t="s">
        <v>9794</v>
      </c>
      <c r="E1393" s="1" t="s">
        <v>9061</v>
      </c>
      <c r="F1393" s="1" t="s">
        <v>49</v>
      </c>
      <c r="G1393" s="1"/>
      <c r="J1393" s="1" t="s">
        <v>9795</v>
      </c>
      <c r="L1393" s="2" t="s">
        <v>9932</v>
      </c>
      <c r="M1393" s="1" t="s">
        <v>12254</v>
      </c>
      <c r="P1393" s="7" t="s">
        <v>1241</v>
      </c>
      <c r="Q1393" s="13" t="str">
        <f>INDEX($L:$L, MATCH("advocate", $B:$B, 0))</f>
        <v>&lt;span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v>
      </c>
      <c r="R1393" s="13" t="str">
        <f>INDEX($L:$L, MATCH("vocabulary", $B:$B, 0))</f>
        <v>&lt;span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v>
      </c>
      <c r="AU1393" s="15"/>
      <c r="AV1393" s="1" t="s">
        <v>38</v>
      </c>
      <c r="BG1393" s="7" t="s">
        <v>1242</v>
      </c>
      <c r="BH1393" s="1" t="s">
        <v>2034</v>
      </c>
      <c r="BI1393" s="2" t="s">
        <v>6745</v>
      </c>
      <c r="BJ1393" s="1" t="s">
        <v>6697</v>
      </c>
      <c r="BK1393" s="2" t="s">
        <v>6746</v>
      </c>
      <c r="BL1393" s="1" t="s">
        <v>2044</v>
      </c>
      <c r="BM1393" s="2" t="s">
        <v>6747</v>
      </c>
      <c r="BN1393" s="1" t="s">
        <v>1883</v>
      </c>
      <c r="BO1393" s="2" t="s">
        <v>6748</v>
      </c>
    </row>
    <row r="1394" spans="1:69" ht="162" x14ac:dyDescent="0.45">
      <c r="A1394" s="5">
        <v>1393</v>
      </c>
      <c r="B1394" s="8" t="s">
        <v>6749</v>
      </c>
      <c r="C1394" s="6" t="s">
        <v>6852</v>
      </c>
      <c r="D1394" s="7" t="s">
        <v>9794</v>
      </c>
      <c r="E1394" s="1" t="s">
        <v>9062</v>
      </c>
      <c r="F1394" s="1" t="s">
        <v>1853</v>
      </c>
      <c r="G1394" s="1"/>
      <c r="J1394" s="1" t="s">
        <v>9795</v>
      </c>
      <c r="L1394" s="2" t="s">
        <v>9933</v>
      </c>
      <c r="M1394" s="1" t="s">
        <v>12214</v>
      </c>
      <c r="P1394" s="7" t="s">
        <v>1241</v>
      </c>
      <c r="Q1394" s="13" t="str">
        <f>INDEX($L:$L, MATCH("survive", $B:$B, 0))</f>
        <v>&lt;span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v>
      </c>
      <c r="R1394" s="13"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S1394" s="13" t="str">
        <f>INDEX($L:$L, MATCH("vital", $B:$B, 0))</f>
        <v>&lt;span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v>
      </c>
      <c r="AU1394" s="15"/>
      <c r="AV1394" s="1" t="s">
        <v>38</v>
      </c>
      <c r="BG1394" s="7" t="s">
        <v>1242</v>
      </c>
      <c r="BH1394" s="1" t="s">
        <v>2034</v>
      </c>
      <c r="BI1394" s="2" t="s">
        <v>6750</v>
      </c>
      <c r="BJ1394" s="1" t="s">
        <v>2017</v>
      </c>
      <c r="BK1394" s="1" t="s">
        <v>6751</v>
      </c>
      <c r="BL1394" s="1" t="s">
        <v>1883</v>
      </c>
      <c r="BM1394" s="2" t="s">
        <v>6752</v>
      </c>
    </row>
    <row r="1395" spans="1:69" ht="288" x14ac:dyDescent="0.45">
      <c r="A1395" s="5">
        <v>1394</v>
      </c>
      <c r="B1395" s="8" t="s">
        <v>6753</v>
      </c>
      <c r="C1395" s="6" t="s">
        <v>6852</v>
      </c>
      <c r="D1395" s="7" t="s">
        <v>9794</v>
      </c>
      <c r="E1395" s="1" t="s">
        <v>29</v>
      </c>
      <c r="F1395" s="1" t="s">
        <v>8904</v>
      </c>
      <c r="G1395" s="1" t="s">
        <v>49</v>
      </c>
      <c r="J1395" s="1" t="s">
        <v>9795</v>
      </c>
      <c r="K1395" s="2"/>
      <c r="L1395" s="2" t="s">
        <v>9934</v>
      </c>
      <c r="P1395" s="7" t="s">
        <v>1241</v>
      </c>
      <c r="Q1395" s="13"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R1395" s="13"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AU1395" s="15"/>
      <c r="AV1395" s="1" t="s">
        <v>38</v>
      </c>
      <c r="BG1395" s="7" t="s">
        <v>1242</v>
      </c>
      <c r="BH1395" s="1" t="s">
        <v>2034</v>
      </c>
      <c r="BI1395" s="2" t="s">
        <v>9935</v>
      </c>
      <c r="BJ1395" s="1" t="s">
        <v>6697</v>
      </c>
      <c r="BK1395" s="1" t="s">
        <v>6754</v>
      </c>
      <c r="BL1395" s="1" t="s">
        <v>2044</v>
      </c>
      <c r="BM1395" s="2" t="s">
        <v>6755</v>
      </c>
    </row>
    <row r="1396" spans="1:69" ht="216" x14ac:dyDescent="0.45">
      <c r="A1396" s="5">
        <v>1395</v>
      </c>
      <c r="B1396" s="8" t="s">
        <v>6756</v>
      </c>
      <c r="C1396" s="6" t="s">
        <v>6852</v>
      </c>
      <c r="D1396" s="7" t="s">
        <v>9794</v>
      </c>
      <c r="E1396" s="1" t="s">
        <v>233</v>
      </c>
      <c r="F1396" s="1" t="s">
        <v>9059</v>
      </c>
      <c r="G1396" s="1"/>
      <c r="J1396" s="1" t="s">
        <v>9795</v>
      </c>
      <c r="L1396" s="2" t="s">
        <v>9936</v>
      </c>
      <c r="P1396" s="7" t="s">
        <v>1241</v>
      </c>
      <c r="Q1396" s="13" t="str">
        <f>INDEX($L:$L, MATCH("host", $B:$B, 0))</f>
        <v>&lt;span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v>
      </c>
      <c r="AU1396" s="15"/>
      <c r="AV1396" s="1" t="s">
        <v>38</v>
      </c>
      <c r="BG1396" s="7" t="s">
        <v>1242</v>
      </c>
      <c r="BH1396" s="1" t="s">
        <v>2254</v>
      </c>
      <c r="BI1396" s="2" t="s">
        <v>6757</v>
      </c>
      <c r="BJ1396" s="1" t="s">
        <v>2034</v>
      </c>
      <c r="BK1396" s="2" t="s">
        <v>6758</v>
      </c>
      <c r="BL1396" s="1" t="s">
        <v>2017</v>
      </c>
      <c r="BM1396" s="2" t="s">
        <v>6759</v>
      </c>
      <c r="BN1396" s="1" t="s">
        <v>2044</v>
      </c>
      <c r="BO1396" s="2" t="s">
        <v>6760</v>
      </c>
    </row>
    <row r="1397" spans="1:69" ht="198" x14ac:dyDescent="0.45">
      <c r="A1397" s="5">
        <v>1396</v>
      </c>
      <c r="B1397" s="6" t="s">
        <v>6761</v>
      </c>
      <c r="C1397" s="6" t="s">
        <v>6852</v>
      </c>
      <c r="D1397" s="7" t="s">
        <v>9794</v>
      </c>
      <c r="E1397" s="1" t="s">
        <v>6762</v>
      </c>
      <c r="F1397" s="1" t="s">
        <v>1515</v>
      </c>
      <c r="G1397" s="1" t="s">
        <v>49</v>
      </c>
      <c r="J1397" s="1" t="s">
        <v>9795</v>
      </c>
      <c r="L1397" s="2" t="s">
        <v>9937</v>
      </c>
      <c r="P1397" s="7" t="s">
        <v>1241</v>
      </c>
      <c r="AU1397" s="15"/>
      <c r="AV1397" s="1" t="s">
        <v>38</v>
      </c>
      <c r="BG1397" s="7" t="s">
        <v>1242</v>
      </c>
      <c r="BH1397" s="1" t="s">
        <v>2034</v>
      </c>
      <c r="BI1397" s="2" t="s">
        <v>6763</v>
      </c>
      <c r="BJ1397" s="1" t="s">
        <v>2147</v>
      </c>
      <c r="BK1397" s="2" t="s">
        <v>6764</v>
      </c>
      <c r="BL1397" s="1" t="s">
        <v>1504</v>
      </c>
      <c r="BM1397" s="1" t="s">
        <v>6761</v>
      </c>
      <c r="BN1397" s="1" t="s">
        <v>2044</v>
      </c>
      <c r="BO1397" s="2" t="s">
        <v>6765</v>
      </c>
    </row>
    <row r="1398" spans="1:69" ht="144" x14ac:dyDescent="0.45">
      <c r="A1398" s="5">
        <v>1397</v>
      </c>
      <c r="B1398" s="6" t="s">
        <v>6766</v>
      </c>
      <c r="C1398" s="6" t="s">
        <v>6852</v>
      </c>
      <c r="D1398" s="7" t="s">
        <v>9794</v>
      </c>
      <c r="E1398" s="1" t="s">
        <v>4644</v>
      </c>
      <c r="F1398" s="1" t="s">
        <v>9063</v>
      </c>
      <c r="G1398" s="1"/>
      <c r="J1398" s="1" t="s">
        <v>9795</v>
      </c>
      <c r="L1398" s="3" t="s">
        <v>9938</v>
      </c>
      <c r="P1398" s="7" t="s">
        <v>1241</v>
      </c>
      <c r="AU1398" s="15"/>
      <c r="AV1398" s="1" t="s">
        <v>38</v>
      </c>
      <c r="BG1398" s="7" t="s">
        <v>1242</v>
      </c>
      <c r="BH1398" s="1" t="s">
        <v>2034</v>
      </c>
      <c r="BI1398" s="2" t="s">
        <v>6767</v>
      </c>
      <c r="BJ1398" s="1" t="s">
        <v>2048</v>
      </c>
      <c r="BK1398" s="2" t="s">
        <v>6768</v>
      </c>
      <c r="BL1398" s="1" t="s">
        <v>2410</v>
      </c>
      <c r="BM1398" s="1" t="s">
        <v>6769</v>
      </c>
      <c r="BN1398" s="1" t="s">
        <v>2044</v>
      </c>
      <c r="BO1398" s="2" t="s">
        <v>6770</v>
      </c>
    </row>
    <row r="1399" spans="1:69" ht="216" x14ac:dyDescent="0.45">
      <c r="A1399" s="5">
        <v>1398</v>
      </c>
      <c r="B1399" s="6" t="s">
        <v>6771</v>
      </c>
      <c r="C1399" s="6" t="s">
        <v>6852</v>
      </c>
      <c r="D1399" s="7" t="s">
        <v>9794</v>
      </c>
      <c r="E1399" s="1" t="s">
        <v>1123</v>
      </c>
      <c r="F1399" s="1"/>
      <c r="G1399" s="1"/>
      <c r="J1399" s="1" t="s">
        <v>9795</v>
      </c>
      <c r="K1399" s="2" t="s">
        <v>9939</v>
      </c>
      <c r="L1399" s="2" t="s">
        <v>9940</v>
      </c>
      <c r="P1399" s="7" t="s">
        <v>1241</v>
      </c>
      <c r="AV1399" s="1" t="s">
        <v>38</v>
      </c>
      <c r="BG1399" s="7" t="s">
        <v>1242</v>
      </c>
      <c r="BH1399" s="1" t="s">
        <v>2324</v>
      </c>
      <c r="BI1399" s="1" t="s">
        <v>6772</v>
      </c>
      <c r="BJ1399" s="1" t="s">
        <v>1980</v>
      </c>
      <c r="BK1399" s="1" t="s">
        <v>6773</v>
      </c>
      <c r="BL1399" s="1" t="s">
        <v>6697</v>
      </c>
      <c r="BM1399" s="1" t="s">
        <v>6774</v>
      </c>
      <c r="BN1399" s="1" t="s">
        <v>2044</v>
      </c>
      <c r="BO1399" s="2" t="s">
        <v>6775</v>
      </c>
      <c r="BP1399" s="1" t="s">
        <v>1883</v>
      </c>
      <c r="BQ1399" s="2" t="s">
        <v>9941</v>
      </c>
    </row>
    <row r="1400" spans="1:69" ht="126" x14ac:dyDescent="0.45">
      <c r="A1400" s="5">
        <v>1399</v>
      </c>
      <c r="B1400" s="6" t="s">
        <v>1124</v>
      </c>
      <c r="C1400" s="6" t="s">
        <v>6852</v>
      </c>
      <c r="D1400" s="7" t="s">
        <v>9794</v>
      </c>
      <c r="E1400" s="1" t="s">
        <v>27</v>
      </c>
      <c r="F1400" s="1" t="s">
        <v>9064</v>
      </c>
      <c r="G1400" s="1" t="s">
        <v>1698</v>
      </c>
      <c r="J1400" s="1" t="s">
        <v>9795</v>
      </c>
      <c r="L1400" s="2" t="s">
        <v>9942</v>
      </c>
      <c r="P1400" s="7" t="s">
        <v>1241</v>
      </c>
      <c r="AU1400" s="15"/>
      <c r="AV1400" s="1" t="s">
        <v>38</v>
      </c>
      <c r="BG1400" s="7" t="s">
        <v>1242</v>
      </c>
      <c r="BH1400" s="1" t="s">
        <v>2034</v>
      </c>
      <c r="BI1400" s="2" t="s">
        <v>6776</v>
      </c>
      <c r="BJ1400" s="1" t="s">
        <v>1883</v>
      </c>
      <c r="BK1400" s="2" t="s">
        <v>6777</v>
      </c>
    </row>
    <row r="1401" spans="1:69" ht="216" x14ac:dyDescent="0.45">
      <c r="A1401" s="5">
        <v>1400</v>
      </c>
      <c r="B1401" s="8" t="s">
        <v>6778</v>
      </c>
      <c r="C1401" s="6" t="s">
        <v>6852</v>
      </c>
      <c r="D1401" s="7" t="s">
        <v>9794</v>
      </c>
      <c r="E1401" s="1" t="s">
        <v>9065</v>
      </c>
      <c r="F1401" s="1" t="s">
        <v>4532</v>
      </c>
      <c r="G1401" s="1"/>
      <c r="J1401" s="1" t="s">
        <v>9795</v>
      </c>
      <c r="L1401" s="2" t="s">
        <v>9943</v>
      </c>
      <c r="M1401" s="1" t="s">
        <v>12247</v>
      </c>
      <c r="P1401" s="7" t="s">
        <v>1241</v>
      </c>
      <c r="AU1401" s="15"/>
      <c r="AV1401" s="1" t="s">
        <v>38</v>
      </c>
      <c r="BG1401" s="7" t="s">
        <v>1242</v>
      </c>
      <c r="BH1401" s="1" t="s">
        <v>2034</v>
      </c>
      <c r="BI1401" s="2" t="s">
        <v>6779</v>
      </c>
      <c r="BJ1401" s="1" t="s">
        <v>6697</v>
      </c>
      <c r="BK1401" s="1" t="s">
        <v>6780</v>
      </c>
      <c r="BL1401" s="1" t="s">
        <v>2044</v>
      </c>
      <c r="BM1401" s="2" t="s">
        <v>6781</v>
      </c>
    </row>
    <row r="1402" spans="1:69" ht="126" x14ac:dyDescent="0.45">
      <c r="A1402" s="5">
        <v>1401</v>
      </c>
      <c r="B1402" s="6" t="s">
        <v>1137</v>
      </c>
      <c r="C1402" s="6" t="s">
        <v>1816</v>
      </c>
      <c r="D1402" s="7" t="s">
        <v>9794</v>
      </c>
      <c r="E1402" s="1" t="s">
        <v>1797</v>
      </c>
      <c r="F1402" s="1" t="s">
        <v>6784</v>
      </c>
      <c r="G1402" s="1"/>
      <c r="J1402" s="1" t="s">
        <v>9795</v>
      </c>
      <c r="L1402" s="2" t="s">
        <v>9947</v>
      </c>
      <c r="P1402" s="7" t="s">
        <v>1241</v>
      </c>
      <c r="AU1402" s="15"/>
      <c r="AV1402" s="1" t="s">
        <v>38</v>
      </c>
      <c r="BG1402" s="7" t="s">
        <v>1242</v>
      </c>
      <c r="BH1402" s="1" t="s">
        <v>3497</v>
      </c>
      <c r="BI1402" s="2" t="s">
        <v>6785</v>
      </c>
    </row>
    <row r="1403" spans="1:69" ht="144" x14ac:dyDescent="0.45">
      <c r="A1403" s="5">
        <v>1402</v>
      </c>
      <c r="B1403" s="6" t="s">
        <v>1138</v>
      </c>
      <c r="C1403" s="6" t="s">
        <v>1816</v>
      </c>
      <c r="D1403" s="7" t="s">
        <v>9794</v>
      </c>
      <c r="E1403" s="1" t="s">
        <v>1251</v>
      </c>
      <c r="F1403" s="1" t="s">
        <v>6786</v>
      </c>
      <c r="G1403" s="1"/>
      <c r="J1403" s="1" t="s">
        <v>9795</v>
      </c>
      <c r="L1403" s="2" t="s">
        <v>9948</v>
      </c>
      <c r="P1403" s="7" t="s">
        <v>1241</v>
      </c>
      <c r="AU1403" s="15"/>
      <c r="AV1403" s="1" t="s">
        <v>38</v>
      </c>
      <c r="BG1403" s="7" t="s">
        <v>1242</v>
      </c>
      <c r="BH1403" s="1" t="s">
        <v>1959</v>
      </c>
      <c r="BI1403" s="2" t="s">
        <v>6787</v>
      </c>
      <c r="BJ1403" s="1" t="s">
        <v>1875</v>
      </c>
      <c r="BK1403" s="2" t="s">
        <v>6788</v>
      </c>
    </row>
    <row r="1404" spans="1:69" ht="90" x14ac:dyDescent="0.45">
      <c r="A1404" s="5">
        <v>1403</v>
      </c>
      <c r="B1404" s="6" t="s">
        <v>1139</v>
      </c>
      <c r="C1404" s="6" t="s">
        <v>1816</v>
      </c>
      <c r="D1404" s="7" t="s">
        <v>9794</v>
      </c>
      <c r="E1404" s="1" t="s">
        <v>1139</v>
      </c>
      <c r="F1404" s="1"/>
      <c r="G1404" s="1"/>
      <c r="J1404" s="1" t="s">
        <v>9795</v>
      </c>
      <c r="K1404" s="1" t="s">
        <v>6789</v>
      </c>
      <c r="L1404" s="2" t="s">
        <v>9949</v>
      </c>
      <c r="P1404" s="7" t="s">
        <v>1241</v>
      </c>
      <c r="AU1404" s="15"/>
      <c r="AV1404" s="1" t="s">
        <v>38</v>
      </c>
      <c r="BG1404" s="7" t="s">
        <v>1242</v>
      </c>
      <c r="BH1404" s="1" t="s">
        <v>1976</v>
      </c>
      <c r="BI1404" s="2" t="s">
        <v>6790</v>
      </c>
      <c r="BJ1404" s="1" t="s">
        <v>2110</v>
      </c>
      <c r="BK1404" s="1" t="s">
        <v>6791</v>
      </c>
      <c r="BL1404" s="1" t="s">
        <v>1875</v>
      </c>
      <c r="BM1404" s="2" t="s">
        <v>6792</v>
      </c>
    </row>
    <row r="1405" spans="1:69" ht="162" x14ac:dyDescent="0.45">
      <c r="A1405" s="5">
        <v>1404</v>
      </c>
      <c r="B1405" s="6" t="s">
        <v>1140</v>
      </c>
      <c r="C1405" s="6" t="s">
        <v>1816</v>
      </c>
      <c r="D1405" s="7" t="s">
        <v>9794</v>
      </c>
      <c r="E1405" s="1" t="s">
        <v>46</v>
      </c>
      <c r="F1405" s="1" t="s">
        <v>6793</v>
      </c>
      <c r="G1405" s="1"/>
      <c r="J1405" s="1" t="s">
        <v>9795</v>
      </c>
      <c r="L1405" s="3" t="s">
        <v>12127</v>
      </c>
      <c r="M1405" s="1" t="s">
        <v>12170</v>
      </c>
      <c r="P1405" s="7" t="s">
        <v>1241</v>
      </c>
      <c r="Q1405" s="13"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1405" s="13"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S1405" s="13"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T1405" s="13"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AU1405" s="15"/>
      <c r="AV1405" s="1" t="s">
        <v>38</v>
      </c>
      <c r="BG1405" s="7" t="s">
        <v>1242</v>
      </c>
      <c r="BH1405" s="1" t="s">
        <v>1947</v>
      </c>
      <c r="BI1405" s="2" t="s">
        <v>6794</v>
      </c>
      <c r="BJ1405" s="1" t="s">
        <v>2026</v>
      </c>
      <c r="BK1405" s="1" t="s">
        <v>6795</v>
      </c>
      <c r="BL1405" s="1" t="s">
        <v>1959</v>
      </c>
      <c r="BM1405" s="1" t="s">
        <v>6796</v>
      </c>
      <c r="BN1405" s="1" t="s">
        <v>1875</v>
      </c>
      <c r="BO1405" s="2" t="s">
        <v>6797</v>
      </c>
    </row>
    <row r="1406" spans="1:69" ht="144" x14ac:dyDescent="0.45">
      <c r="A1406" s="5">
        <v>1405</v>
      </c>
      <c r="B1406" s="8" t="s">
        <v>1141</v>
      </c>
      <c r="C1406" s="6" t="s">
        <v>1816</v>
      </c>
      <c r="D1406" s="7" t="s">
        <v>9794</v>
      </c>
      <c r="E1406" s="1" t="s">
        <v>27</v>
      </c>
      <c r="F1406" s="1" t="s">
        <v>6798</v>
      </c>
      <c r="G1406" s="1"/>
      <c r="J1406" s="1" t="s">
        <v>9795</v>
      </c>
      <c r="L1406" s="3" t="s">
        <v>9950</v>
      </c>
      <c r="M1406" s="1" t="s">
        <v>12167</v>
      </c>
      <c r="P1406" s="7" t="s">
        <v>1241</v>
      </c>
      <c r="Q1406" s="13"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1406" s="13"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1406" s="13"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T1406" s="13"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U1406" s="13"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AU1406" s="15"/>
      <c r="AV1406" s="1" t="s">
        <v>38</v>
      </c>
      <c r="BG1406" s="7" t="s">
        <v>1242</v>
      </c>
      <c r="BH1406" s="1" t="s">
        <v>1947</v>
      </c>
      <c r="BI1406" s="2" t="s">
        <v>6799</v>
      </c>
      <c r="BJ1406" s="1" t="s">
        <v>1875</v>
      </c>
      <c r="BK1406" s="2" t="s">
        <v>6800</v>
      </c>
    </row>
    <row r="1407" spans="1:69" ht="180" x14ac:dyDescent="0.45">
      <c r="A1407" s="5">
        <v>1406</v>
      </c>
      <c r="B1407" s="8" t="s">
        <v>1142</v>
      </c>
      <c r="C1407" s="6" t="s">
        <v>1816</v>
      </c>
      <c r="D1407" s="7" t="s">
        <v>9794</v>
      </c>
      <c r="E1407" s="1" t="s">
        <v>1395</v>
      </c>
      <c r="F1407" s="1" t="s">
        <v>1332</v>
      </c>
      <c r="G1407" s="1"/>
      <c r="J1407" s="1" t="s">
        <v>9795</v>
      </c>
      <c r="L1407" s="3" t="s">
        <v>9951</v>
      </c>
      <c r="M1407" s="1" t="s">
        <v>12212</v>
      </c>
      <c r="P1407" s="7" t="s">
        <v>1241</v>
      </c>
      <c r="Q1407" s="13"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1407" s="13"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S1407" s="13"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AU1407" s="15"/>
      <c r="AV1407" s="1" t="s">
        <v>38</v>
      </c>
      <c r="BG1407" s="7" t="s">
        <v>1242</v>
      </c>
      <c r="BH1407" s="1" t="s">
        <v>1947</v>
      </c>
      <c r="BI1407" s="2" t="s">
        <v>6801</v>
      </c>
      <c r="BJ1407" s="1" t="s">
        <v>2026</v>
      </c>
      <c r="BK1407" s="1" t="s">
        <v>6802</v>
      </c>
      <c r="BL1407" s="1" t="s">
        <v>1959</v>
      </c>
      <c r="BM1407" s="1" t="s">
        <v>6803</v>
      </c>
      <c r="BN1407" s="1" t="s">
        <v>1875</v>
      </c>
      <c r="BO1407" s="2" t="s">
        <v>6804</v>
      </c>
    </row>
    <row r="1408" spans="1:69" ht="72" x14ac:dyDescent="0.45">
      <c r="A1408" s="5">
        <v>1407</v>
      </c>
      <c r="B1408" s="8" t="s">
        <v>1143</v>
      </c>
      <c r="C1408" s="6" t="s">
        <v>1816</v>
      </c>
      <c r="D1408" s="7" t="s">
        <v>9794</v>
      </c>
      <c r="E1408" s="1" t="s">
        <v>1143</v>
      </c>
      <c r="F1408" s="1"/>
      <c r="G1408" s="1"/>
      <c r="J1408" s="1" t="s">
        <v>9795</v>
      </c>
      <c r="L1408" s="2" t="s">
        <v>9952</v>
      </c>
      <c r="P1408" s="7" t="s">
        <v>1241</v>
      </c>
      <c r="AV1408" s="1" t="s">
        <v>38</v>
      </c>
      <c r="BG1408" s="7" t="s">
        <v>1242</v>
      </c>
      <c r="BH1408" s="1" t="s">
        <v>3414</v>
      </c>
      <c r="BI1408" s="1" t="s">
        <v>6805</v>
      </c>
      <c r="BJ1408" s="1" t="s">
        <v>1877</v>
      </c>
      <c r="BK1408" s="2" t="s">
        <v>6806</v>
      </c>
    </row>
    <row r="1409" spans="1:67" ht="216" x14ac:dyDescent="0.45">
      <c r="A1409" s="5">
        <v>1408</v>
      </c>
      <c r="B1409" s="6" t="s">
        <v>1144</v>
      </c>
      <c r="C1409" s="6" t="s">
        <v>1816</v>
      </c>
      <c r="D1409" s="7" t="s">
        <v>9794</v>
      </c>
      <c r="E1409" s="1" t="s">
        <v>1251</v>
      </c>
      <c r="F1409" s="1" t="s">
        <v>6807</v>
      </c>
      <c r="G1409" s="1"/>
      <c r="J1409" s="1" t="s">
        <v>9795</v>
      </c>
      <c r="L1409" s="3" t="s">
        <v>9968</v>
      </c>
      <c r="P1409" s="7" t="s">
        <v>1241</v>
      </c>
      <c r="AU1409" s="15"/>
      <c r="AV1409" s="1" t="s">
        <v>38</v>
      </c>
      <c r="BG1409" s="7" t="s">
        <v>1242</v>
      </c>
      <c r="BH1409" s="1" t="s">
        <v>1959</v>
      </c>
      <c r="BI1409" s="2" t="s">
        <v>6808</v>
      </c>
      <c r="BJ1409" s="1" t="s">
        <v>1875</v>
      </c>
      <c r="BK1409" s="2" t="s">
        <v>6809</v>
      </c>
      <c r="BL1409" s="1" t="s">
        <v>1877</v>
      </c>
      <c r="BM1409" s="2" t="s">
        <v>6810</v>
      </c>
      <c r="BN1409" s="1" t="s">
        <v>3497</v>
      </c>
      <c r="BO1409" s="2" t="s">
        <v>6811</v>
      </c>
    </row>
    <row r="1410" spans="1:67" ht="144" x14ac:dyDescent="0.45">
      <c r="A1410" s="5">
        <v>1409</v>
      </c>
      <c r="B1410" s="8" t="s">
        <v>1145</v>
      </c>
      <c r="C1410" s="6" t="s">
        <v>1816</v>
      </c>
      <c r="D1410" s="7" t="s">
        <v>9794</v>
      </c>
      <c r="E1410" s="1" t="s">
        <v>6812</v>
      </c>
      <c r="F1410" s="1" t="s">
        <v>6813</v>
      </c>
      <c r="G1410" s="1"/>
      <c r="J1410" s="1" t="s">
        <v>9795</v>
      </c>
      <c r="L1410" s="3" t="s">
        <v>9969</v>
      </c>
      <c r="M1410" s="1" t="s">
        <v>12208</v>
      </c>
      <c r="P1410" s="7" t="s">
        <v>1241</v>
      </c>
      <c r="Q1410" s="13"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410" s="13"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S1410" s="13"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T1410" s="13"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1410"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V1410" s="13"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AV1410" s="1" t="s">
        <v>38</v>
      </c>
      <c r="BG1410" s="7" t="s">
        <v>1242</v>
      </c>
      <c r="BH1410" s="1" t="s">
        <v>1947</v>
      </c>
      <c r="BI1410" s="1" t="s">
        <v>6814</v>
      </c>
      <c r="BJ1410" s="1" t="s">
        <v>1959</v>
      </c>
      <c r="BK1410" s="2" t="s">
        <v>6815</v>
      </c>
      <c r="BL1410" s="1" t="s">
        <v>2114</v>
      </c>
      <c r="BM1410" s="1" t="s">
        <v>6816</v>
      </c>
      <c r="BN1410" s="1" t="s">
        <v>1875</v>
      </c>
      <c r="BO1410" s="2" t="s">
        <v>6817</v>
      </c>
    </row>
    <row r="1411" spans="1:67" ht="108" x14ac:dyDescent="0.45">
      <c r="A1411" s="5">
        <v>1410</v>
      </c>
      <c r="B1411" s="6" t="s">
        <v>1146</v>
      </c>
      <c r="C1411" s="6" t="s">
        <v>1816</v>
      </c>
      <c r="D1411" s="7" t="s">
        <v>9794</v>
      </c>
      <c r="E1411" s="6" t="s">
        <v>1146</v>
      </c>
      <c r="F1411" s="1"/>
      <c r="G1411" s="1"/>
      <c r="J1411" s="1" t="s">
        <v>9795</v>
      </c>
      <c r="L1411" s="2" t="s">
        <v>9953</v>
      </c>
      <c r="P1411" s="7" t="s">
        <v>1241</v>
      </c>
      <c r="AU1411" s="15"/>
      <c r="AV1411" s="1" t="s">
        <v>38</v>
      </c>
      <c r="BG1411" s="7" t="s">
        <v>1242</v>
      </c>
      <c r="BH1411" s="1" t="s">
        <v>1875</v>
      </c>
      <c r="BI1411" s="2" t="s">
        <v>6818</v>
      </c>
      <c r="BJ1411" s="1" t="s">
        <v>1877</v>
      </c>
      <c r="BK1411" s="2" t="s">
        <v>6819</v>
      </c>
    </row>
    <row r="1412" spans="1:67" ht="126" x14ac:dyDescent="0.45">
      <c r="A1412" s="5">
        <v>1411</v>
      </c>
      <c r="B1412" s="8" t="s">
        <v>1147</v>
      </c>
      <c r="C1412" s="6" t="s">
        <v>1816</v>
      </c>
      <c r="D1412" s="7" t="s">
        <v>9794</v>
      </c>
      <c r="E1412" s="1" t="s">
        <v>1327</v>
      </c>
      <c r="F1412" s="1" t="s">
        <v>4313</v>
      </c>
      <c r="G1412" s="1" t="s">
        <v>1818</v>
      </c>
      <c r="J1412" s="1" t="s">
        <v>9795</v>
      </c>
      <c r="L1412" s="3" t="s">
        <v>9954</v>
      </c>
      <c r="M1412" s="1" t="s">
        <v>12175</v>
      </c>
      <c r="P1412" s="7" t="s">
        <v>1241</v>
      </c>
      <c r="Q1412" s="13"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412" s="13"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S1412" s="13"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T1412" s="13"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U1412" s="13"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U1412" s="15"/>
      <c r="AV1412" s="1" t="s">
        <v>38</v>
      </c>
      <c r="BG1412" s="7" t="s">
        <v>1242</v>
      </c>
      <c r="BH1412" s="1" t="s">
        <v>1947</v>
      </c>
      <c r="BI1412" s="2" t="s">
        <v>6820</v>
      </c>
      <c r="BJ1412" s="1" t="s">
        <v>1875</v>
      </c>
      <c r="BK1412" s="2" t="s">
        <v>6821</v>
      </c>
      <c r="BL1412" s="1" t="s">
        <v>1877</v>
      </c>
      <c r="BM1412" s="2" t="s">
        <v>6822</v>
      </c>
    </row>
    <row r="1413" spans="1:67" ht="144" x14ac:dyDescent="0.45">
      <c r="A1413" s="5">
        <v>1412</v>
      </c>
      <c r="B1413" s="8" t="s">
        <v>1148</v>
      </c>
      <c r="C1413" s="6" t="s">
        <v>1816</v>
      </c>
      <c r="D1413" s="7" t="s">
        <v>9794</v>
      </c>
      <c r="E1413" s="1" t="s">
        <v>1426</v>
      </c>
      <c r="F1413" s="1" t="s">
        <v>6823</v>
      </c>
      <c r="G1413" s="1"/>
      <c r="J1413" s="1" t="s">
        <v>9795</v>
      </c>
      <c r="L1413" s="3" t="s">
        <v>9955</v>
      </c>
      <c r="M1413" s="1" t="s">
        <v>12277</v>
      </c>
      <c r="P1413" s="7" t="s">
        <v>1241</v>
      </c>
      <c r="Q1413" s="13"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1413" s="13"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S1413" s="13"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T1413" s="13"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U1413"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V1413"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W1413" s="13"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X1413" s="13"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Y1413"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Z1413" s="13"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AA1413"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AU1413" s="15"/>
      <c r="AV1413" s="1" t="s">
        <v>38</v>
      </c>
      <c r="BG1413" s="7" t="s">
        <v>1242</v>
      </c>
      <c r="BH1413" s="1" t="s">
        <v>1947</v>
      </c>
      <c r="BI1413" s="2" t="s">
        <v>6824</v>
      </c>
      <c r="BJ1413" s="1" t="s">
        <v>1877</v>
      </c>
      <c r="BK1413" s="2" t="s">
        <v>6825</v>
      </c>
    </row>
    <row r="1414" spans="1:67" ht="90" x14ac:dyDescent="0.45">
      <c r="A1414" s="5">
        <v>1413</v>
      </c>
      <c r="B1414" s="6" t="s">
        <v>1149</v>
      </c>
      <c r="C1414" s="6" t="s">
        <v>1816</v>
      </c>
      <c r="D1414" s="7" t="s">
        <v>9794</v>
      </c>
      <c r="E1414" s="6" t="s">
        <v>1149</v>
      </c>
      <c r="F1414" s="1"/>
      <c r="G1414" s="1"/>
      <c r="J1414" s="1" t="s">
        <v>9795</v>
      </c>
      <c r="L1414" s="2" t="s">
        <v>9956</v>
      </c>
      <c r="P1414" s="7" t="s">
        <v>1241</v>
      </c>
      <c r="AU1414" s="15"/>
      <c r="AV1414" s="1" t="s">
        <v>38</v>
      </c>
      <c r="BG1414" s="7" t="s">
        <v>1242</v>
      </c>
      <c r="BH1414" s="1" t="s">
        <v>1872</v>
      </c>
      <c r="BI1414" s="2" t="s">
        <v>6826</v>
      </c>
      <c r="BJ1414" s="1" t="s">
        <v>1875</v>
      </c>
      <c r="BK1414" s="2" t="s">
        <v>6827</v>
      </c>
    </row>
    <row r="1415" spans="1:67" ht="180" x14ac:dyDescent="0.45">
      <c r="A1415" s="5">
        <v>1414</v>
      </c>
      <c r="B1415" s="8" t="s">
        <v>1150</v>
      </c>
      <c r="C1415" s="6" t="s">
        <v>1816</v>
      </c>
      <c r="D1415" s="7" t="s">
        <v>9794</v>
      </c>
      <c r="E1415" s="1" t="s">
        <v>1505</v>
      </c>
      <c r="F1415" s="1" t="s">
        <v>4660</v>
      </c>
      <c r="G1415" s="1"/>
      <c r="J1415" s="1" t="s">
        <v>9795</v>
      </c>
      <c r="L1415" s="3" t="s">
        <v>9957</v>
      </c>
      <c r="M1415" s="1" t="s">
        <v>12272</v>
      </c>
      <c r="P1415" s="7" t="s">
        <v>1241</v>
      </c>
      <c r="Q1415" s="13" t="str">
        <f>INDEX($L:$L, MATCH("interrupt", $B:$B, 0))</f>
        <v>&lt;span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v>
      </c>
      <c r="AU1415" s="15"/>
      <c r="AV1415" s="1" t="s">
        <v>38</v>
      </c>
      <c r="BG1415" s="7" t="s">
        <v>1242</v>
      </c>
      <c r="BH1415" s="1" t="s">
        <v>1947</v>
      </c>
      <c r="BI1415" s="2" t="s">
        <v>6828</v>
      </c>
      <c r="BJ1415" s="1" t="s">
        <v>1877</v>
      </c>
      <c r="BK1415" s="2" t="s">
        <v>6829</v>
      </c>
    </row>
    <row r="1416" spans="1:67" ht="198" x14ac:dyDescent="0.45">
      <c r="A1416" s="5">
        <v>1415</v>
      </c>
      <c r="B1416" s="8" t="s">
        <v>1151</v>
      </c>
      <c r="C1416" s="6" t="s">
        <v>1816</v>
      </c>
      <c r="D1416" s="7" t="s">
        <v>9794</v>
      </c>
      <c r="E1416" s="1" t="s">
        <v>1327</v>
      </c>
      <c r="F1416" s="1" t="s">
        <v>5206</v>
      </c>
      <c r="G1416" s="1"/>
      <c r="J1416" s="1" t="s">
        <v>9795</v>
      </c>
      <c r="L1416" s="3" t="s">
        <v>9958</v>
      </c>
      <c r="P1416" s="7" t="s">
        <v>1241</v>
      </c>
      <c r="Q1416" s="13"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1416" s="13"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S1416"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T1416" s="13"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U1416"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1416"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AV1416" s="1" t="s">
        <v>38</v>
      </c>
      <c r="BG1416" s="7" t="s">
        <v>1242</v>
      </c>
      <c r="BH1416" s="1" t="s">
        <v>1947</v>
      </c>
      <c r="BI1416" s="1" t="s">
        <v>6830</v>
      </c>
      <c r="BJ1416" s="1" t="s">
        <v>2036</v>
      </c>
      <c r="BK1416" s="2" t="s">
        <v>6831</v>
      </c>
      <c r="BL1416" s="1" t="s">
        <v>4020</v>
      </c>
      <c r="BM1416" s="2" t="s">
        <v>6832</v>
      </c>
      <c r="BN1416" s="1" t="s">
        <v>1875</v>
      </c>
      <c r="BO1416" s="2" t="s">
        <v>6833</v>
      </c>
    </row>
    <row r="1417" spans="1:67" ht="288" x14ac:dyDescent="0.45">
      <c r="A1417" s="5">
        <v>1416</v>
      </c>
      <c r="B1417" s="8" t="s">
        <v>1152</v>
      </c>
      <c r="C1417" s="6" t="s">
        <v>1816</v>
      </c>
      <c r="D1417" s="7" t="s">
        <v>9794</v>
      </c>
      <c r="E1417" s="1" t="s">
        <v>6834</v>
      </c>
      <c r="F1417" s="1" t="s">
        <v>6835</v>
      </c>
      <c r="G1417" s="1" t="s">
        <v>5344</v>
      </c>
      <c r="J1417" s="1" t="s">
        <v>9795</v>
      </c>
      <c r="K1417" s="2"/>
      <c r="L1417" s="2" t="s">
        <v>9959</v>
      </c>
      <c r="P1417" s="7" t="s">
        <v>1241</v>
      </c>
      <c r="AU1417" s="15"/>
      <c r="AV1417" s="1" t="s">
        <v>38</v>
      </c>
      <c r="BG1417" s="7" t="s">
        <v>1242</v>
      </c>
      <c r="BH1417" s="1" t="s">
        <v>1947</v>
      </c>
      <c r="BI1417" s="2" t="s">
        <v>6836</v>
      </c>
      <c r="BJ1417" s="1" t="s">
        <v>1877</v>
      </c>
      <c r="BK1417" s="2" t="s">
        <v>6837</v>
      </c>
      <c r="BL1417" s="1" t="s">
        <v>3497</v>
      </c>
      <c r="BM1417" s="2" t="s">
        <v>6838</v>
      </c>
    </row>
    <row r="1418" spans="1:67" ht="108" x14ac:dyDescent="0.45">
      <c r="A1418" s="5">
        <v>1417</v>
      </c>
      <c r="B1418" s="6" t="s">
        <v>1153</v>
      </c>
      <c r="C1418" s="6" t="s">
        <v>1816</v>
      </c>
      <c r="D1418" s="7" t="s">
        <v>9794</v>
      </c>
      <c r="E1418" s="1" t="s">
        <v>1153</v>
      </c>
      <c r="F1418" s="1"/>
      <c r="G1418" s="1"/>
      <c r="J1418" s="1" t="s">
        <v>9795</v>
      </c>
      <c r="L1418" s="3" t="s">
        <v>9960</v>
      </c>
      <c r="P1418" s="7" t="s">
        <v>1241</v>
      </c>
      <c r="AU1418" s="15"/>
      <c r="AV1418" s="1" t="s">
        <v>38</v>
      </c>
      <c r="BG1418" s="7" t="s">
        <v>1242</v>
      </c>
      <c r="BH1418" s="1" t="s">
        <v>1875</v>
      </c>
      <c r="BI1418" s="2" t="s">
        <v>6839</v>
      </c>
      <c r="BJ1418" s="1" t="s">
        <v>1877</v>
      </c>
      <c r="BK1418" s="2" t="s">
        <v>6840</v>
      </c>
    </row>
    <row r="1419" spans="1:67" ht="180" x14ac:dyDescent="0.45">
      <c r="A1419" s="5">
        <v>1418</v>
      </c>
      <c r="B1419" s="8" t="s">
        <v>1154</v>
      </c>
      <c r="C1419" s="6" t="s">
        <v>1816</v>
      </c>
      <c r="D1419" s="7" t="s">
        <v>9794</v>
      </c>
      <c r="E1419" s="1" t="s">
        <v>27</v>
      </c>
      <c r="F1419" s="1" t="s">
        <v>135</v>
      </c>
      <c r="G1419" s="1"/>
      <c r="J1419" s="1" t="s">
        <v>9795</v>
      </c>
      <c r="K1419" s="2" t="s">
        <v>9961</v>
      </c>
      <c r="L1419" s="3" t="s">
        <v>9962</v>
      </c>
      <c r="M1419" s="1" t="s">
        <v>12224</v>
      </c>
      <c r="P1419" s="7" t="s">
        <v>1241</v>
      </c>
      <c r="Q1419" s="13"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R1419" s="13"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S1419" s="13"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T1419" s="13"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AU1419" s="15"/>
      <c r="AV1419" s="1" t="s">
        <v>38</v>
      </c>
      <c r="BG1419" s="7" t="s">
        <v>1242</v>
      </c>
      <c r="BH1419" s="1" t="s">
        <v>1947</v>
      </c>
      <c r="BI1419" s="2" t="s">
        <v>6841</v>
      </c>
      <c r="BJ1419" s="1" t="s">
        <v>1959</v>
      </c>
      <c r="BK1419" s="1" t="s">
        <v>6842</v>
      </c>
      <c r="BL1419" s="1" t="s">
        <v>1875</v>
      </c>
      <c r="BM1419" s="2" t="s">
        <v>6843</v>
      </c>
    </row>
    <row r="1420" spans="1:67" ht="180" x14ac:dyDescent="0.45">
      <c r="A1420" s="5">
        <v>1419</v>
      </c>
      <c r="B1420" s="8" t="s">
        <v>1155</v>
      </c>
      <c r="C1420" s="6" t="s">
        <v>1816</v>
      </c>
      <c r="D1420" s="7" t="s">
        <v>9794</v>
      </c>
      <c r="E1420" s="1" t="s">
        <v>1667</v>
      </c>
      <c r="F1420" s="1" t="s">
        <v>6844</v>
      </c>
      <c r="G1420" s="1"/>
      <c r="J1420" s="1" t="s">
        <v>9963</v>
      </c>
      <c r="K1420" s="1" t="s">
        <v>9964</v>
      </c>
      <c r="L1420" s="3" t="s">
        <v>9965</v>
      </c>
      <c r="M1420" s="1" t="s">
        <v>12190</v>
      </c>
      <c r="P1420" s="7" t="s">
        <v>1241</v>
      </c>
      <c r="Q1420" s="13"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420" s="13"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1420" s="13"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1420"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1420"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1420" s="13"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W1420"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X1420"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Y1420"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Z1420"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1420" s="1" t="s">
        <v>38</v>
      </c>
      <c r="BG1420" s="7" t="s">
        <v>1242</v>
      </c>
      <c r="BH1420" s="1" t="s">
        <v>1976</v>
      </c>
      <c r="BI1420" s="1" t="s">
        <v>3355</v>
      </c>
      <c r="BJ1420" s="1" t="s">
        <v>2458</v>
      </c>
      <c r="BK1420" s="2" t="s">
        <v>6845</v>
      </c>
      <c r="BL1420" s="1" t="s">
        <v>1877</v>
      </c>
      <c r="BM1420" s="2" t="s">
        <v>6846</v>
      </c>
    </row>
    <row r="1421" spans="1:67" ht="216" x14ac:dyDescent="0.45">
      <c r="A1421" s="5">
        <v>1420</v>
      </c>
      <c r="B1421" s="6" t="s">
        <v>1156</v>
      </c>
      <c r="C1421" s="6" t="s">
        <v>1816</v>
      </c>
      <c r="D1421" s="7" t="s">
        <v>9794</v>
      </c>
      <c r="E1421" s="1" t="s">
        <v>1467</v>
      </c>
      <c r="F1421" s="1" t="s">
        <v>1338</v>
      </c>
      <c r="G1421" s="1" t="s">
        <v>6847</v>
      </c>
      <c r="J1421" s="1" t="s">
        <v>9795</v>
      </c>
      <c r="L1421" s="3" t="s">
        <v>9966</v>
      </c>
      <c r="P1421" s="7" t="s">
        <v>1241</v>
      </c>
      <c r="Q1421" s="13" t="str">
        <f>INDEX($L:$L, MATCH("enterprise", $B:$B, 0))</f>
        <v>&lt;span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v>
      </c>
      <c r="R1421" s="13" t="str">
        <f>INDEX($L:$L, MATCH("comprise", $B:$B, 0))</f>
        <v>&lt;span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v>
      </c>
      <c r="AU1421" s="15"/>
      <c r="AV1421" s="1" t="s">
        <v>38</v>
      </c>
      <c r="BG1421" s="7" t="s">
        <v>1242</v>
      </c>
      <c r="BH1421" s="1" t="s">
        <v>1947</v>
      </c>
      <c r="BI1421" s="2" t="s">
        <v>6848</v>
      </c>
      <c r="BJ1421" s="1" t="s">
        <v>1875</v>
      </c>
      <c r="BK1421" s="2" t="s">
        <v>6849</v>
      </c>
    </row>
    <row r="1422" spans="1:67" ht="180" x14ac:dyDescent="0.45">
      <c r="A1422" s="5">
        <v>1421</v>
      </c>
      <c r="B1422" s="8" t="s">
        <v>1157</v>
      </c>
      <c r="C1422" s="6" t="s">
        <v>1816</v>
      </c>
      <c r="D1422" s="7" t="s">
        <v>9794</v>
      </c>
      <c r="E1422" s="1" t="s">
        <v>1397</v>
      </c>
      <c r="F1422" s="1" t="s">
        <v>6856</v>
      </c>
      <c r="G1422" s="1"/>
      <c r="J1422" s="1" t="s">
        <v>9795</v>
      </c>
      <c r="L1422" s="3" t="s">
        <v>9970</v>
      </c>
      <c r="P1422" s="7" t="s">
        <v>1241</v>
      </c>
      <c r="Q1422" s="13"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1422" s="13"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S1422" s="13"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T1422" s="13"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AU1422" s="15"/>
      <c r="AV1422" s="1" t="s">
        <v>38</v>
      </c>
      <c r="BG1422" s="7" t="s">
        <v>1242</v>
      </c>
      <c r="BH1422" s="1" t="s">
        <v>1947</v>
      </c>
      <c r="BI1422" s="2" t="s">
        <v>6857</v>
      </c>
      <c r="BJ1422" s="1" t="s">
        <v>1959</v>
      </c>
      <c r="BK1422" s="2" t="s">
        <v>6858</v>
      </c>
      <c r="BL1422" s="1" t="s">
        <v>1875</v>
      </c>
      <c r="BM1422" s="2" t="s">
        <v>6859</v>
      </c>
      <c r="BN1422" s="1" t="s">
        <v>1877</v>
      </c>
      <c r="BO1422" s="2" t="s">
        <v>6860</v>
      </c>
    </row>
    <row r="1423" spans="1:67" ht="126" x14ac:dyDescent="0.45">
      <c r="A1423" s="5">
        <v>1422</v>
      </c>
      <c r="B1423" s="6" t="s">
        <v>1158</v>
      </c>
      <c r="C1423" s="6" t="s">
        <v>1816</v>
      </c>
      <c r="D1423" s="7" t="s">
        <v>9794</v>
      </c>
      <c r="E1423" s="6" t="s">
        <v>1158</v>
      </c>
      <c r="F1423" s="1"/>
      <c r="G1423" s="1"/>
      <c r="J1423" s="1" t="s">
        <v>9795</v>
      </c>
      <c r="L1423" s="2" t="s">
        <v>9971</v>
      </c>
      <c r="P1423" s="7" t="s">
        <v>1241</v>
      </c>
      <c r="AV1423" s="1" t="s">
        <v>38</v>
      </c>
      <c r="BG1423" s="7" t="s">
        <v>1242</v>
      </c>
      <c r="BH1423" s="1" t="s">
        <v>1872</v>
      </c>
      <c r="BI1423" s="1" t="s">
        <v>6861</v>
      </c>
      <c r="BJ1423" s="1" t="s">
        <v>1875</v>
      </c>
      <c r="BK1423" s="2" t="s">
        <v>6862</v>
      </c>
      <c r="BL1423" s="1" t="s">
        <v>1877</v>
      </c>
      <c r="BM1423" s="2" t="s">
        <v>6863</v>
      </c>
    </row>
    <row r="1424" spans="1:67" ht="108" x14ac:dyDescent="0.45">
      <c r="A1424" s="5">
        <v>1423</v>
      </c>
      <c r="B1424" s="6" t="s">
        <v>1159</v>
      </c>
      <c r="C1424" s="6" t="s">
        <v>1816</v>
      </c>
      <c r="D1424" s="7" t="s">
        <v>9794</v>
      </c>
      <c r="E1424" s="1" t="s">
        <v>1159</v>
      </c>
      <c r="F1424" s="1"/>
      <c r="G1424" s="1"/>
      <c r="J1424" s="1" t="s">
        <v>9795</v>
      </c>
      <c r="K1424" s="1" t="s">
        <v>9972</v>
      </c>
      <c r="L1424" s="2" t="s">
        <v>9973</v>
      </c>
      <c r="P1424" s="7" t="s">
        <v>1241</v>
      </c>
      <c r="AV1424" s="1" t="s">
        <v>38</v>
      </c>
      <c r="BG1424" s="7" t="s">
        <v>1242</v>
      </c>
      <c r="BH1424" s="1" t="s">
        <v>1872</v>
      </c>
      <c r="BI1424" s="1" t="s">
        <v>6864</v>
      </c>
      <c r="BJ1424" s="1" t="s">
        <v>1875</v>
      </c>
      <c r="BK1424" s="2" t="s">
        <v>6865</v>
      </c>
    </row>
    <row r="1425" spans="1:71" ht="108" x14ac:dyDescent="0.45">
      <c r="A1425" s="5">
        <v>1424</v>
      </c>
      <c r="B1425" s="6" t="s">
        <v>1160</v>
      </c>
      <c r="C1425" s="6" t="s">
        <v>1816</v>
      </c>
      <c r="D1425" s="7" t="s">
        <v>9794</v>
      </c>
      <c r="E1425" s="1" t="s">
        <v>5001</v>
      </c>
      <c r="F1425" s="1" t="s">
        <v>159</v>
      </c>
      <c r="G1425" s="1"/>
      <c r="J1425" s="1" t="s">
        <v>9795</v>
      </c>
      <c r="K1425" s="1" t="s">
        <v>9974</v>
      </c>
      <c r="L1425" s="2" t="s">
        <v>9975</v>
      </c>
      <c r="M1425" s="1" t="s">
        <v>12231</v>
      </c>
      <c r="P1425" s="7" t="s">
        <v>1241</v>
      </c>
      <c r="Q1425" s="13" t="str">
        <f>INDEX($L:$L, MATCH("esteem", $B:$B, 0))</f>
        <v>&lt;span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v>
      </c>
      <c r="R1425" s="13" t="str">
        <f>INDEX($L:$L, MATCH("estimate", $B:$B, 0))</f>
        <v>&lt;span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v>
      </c>
      <c r="S1425" s="13" t="str">
        <f>INDEX($L:$L, MATCH("aim", $B:$B, 0))</f>
        <v>&lt;span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v>
      </c>
      <c r="AU1425" s="15"/>
      <c r="AV1425" s="1" t="s">
        <v>38</v>
      </c>
      <c r="BG1425" s="7" t="s">
        <v>1242</v>
      </c>
      <c r="BH1425" s="1" t="s">
        <v>1877</v>
      </c>
      <c r="BI1425" s="2" t="s">
        <v>6866</v>
      </c>
    </row>
    <row r="1426" spans="1:71" ht="126" x14ac:dyDescent="0.45">
      <c r="A1426" s="5">
        <v>1425</v>
      </c>
      <c r="B1426" s="8" t="s">
        <v>1161</v>
      </c>
      <c r="C1426" s="6" t="s">
        <v>1816</v>
      </c>
      <c r="D1426" s="7" t="s">
        <v>9794</v>
      </c>
      <c r="E1426" s="1" t="s">
        <v>6867</v>
      </c>
      <c r="F1426" s="1" t="s">
        <v>1422</v>
      </c>
      <c r="G1426" s="1"/>
      <c r="J1426" s="1" t="s">
        <v>9795</v>
      </c>
      <c r="K1426" s="1" t="s">
        <v>6868</v>
      </c>
      <c r="L1426" s="2" t="s">
        <v>9976</v>
      </c>
      <c r="P1426" s="7" t="s">
        <v>1241</v>
      </c>
      <c r="Q1426" s="13" t="str">
        <f>INDEX($L:$L, MATCH("declare", $B:$B, 0))</f>
        <v>&lt;span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v>
      </c>
      <c r="AV1426" s="1" t="s">
        <v>38</v>
      </c>
      <c r="BG1426" s="7" t="s">
        <v>1242</v>
      </c>
      <c r="BH1426" s="1" t="s">
        <v>1947</v>
      </c>
      <c r="BI1426" s="1" t="s">
        <v>6869</v>
      </c>
      <c r="BJ1426" s="1" t="s">
        <v>2036</v>
      </c>
      <c r="BK1426" s="2" t="s">
        <v>6870</v>
      </c>
      <c r="BL1426" s="1" t="s">
        <v>1959</v>
      </c>
      <c r="BM1426" s="2" t="s">
        <v>6871</v>
      </c>
      <c r="BN1426" s="1" t="s">
        <v>1875</v>
      </c>
      <c r="BO1426" s="2" t="s">
        <v>6872</v>
      </c>
      <c r="BP1426" s="1" t="s">
        <v>1877</v>
      </c>
      <c r="BQ1426" s="2" t="s">
        <v>6873</v>
      </c>
    </row>
    <row r="1427" spans="1:71" ht="108" x14ac:dyDescent="0.45">
      <c r="A1427" s="5">
        <v>1426</v>
      </c>
      <c r="B1427" s="6" t="s">
        <v>1162</v>
      </c>
      <c r="C1427" s="6" t="s">
        <v>1816</v>
      </c>
      <c r="D1427" s="7" t="s">
        <v>9794</v>
      </c>
      <c r="E1427" s="1" t="s">
        <v>1162</v>
      </c>
      <c r="F1427" s="1"/>
      <c r="G1427" s="1"/>
      <c r="J1427" s="1" t="s">
        <v>9795</v>
      </c>
      <c r="L1427" s="3" t="s">
        <v>9977</v>
      </c>
      <c r="P1427" s="7" t="s">
        <v>1241</v>
      </c>
      <c r="AU1427" s="15"/>
      <c r="AV1427" s="1" t="s">
        <v>38</v>
      </c>
      <c r="BG1427" s="7" t="s">
        <v>1242</v>
      </c>
      <c r="BH1427" s="1" t="s">
        <v>1872</v>
      </c>
      <c r="BI1427" s="2" t="s">
        <v>6874</v>
      </c>
      <c r="BJ1427" s="1" t="s">
        <v>1875</v>
      </c>
      <c r="BK1427" s="2" t="s">
        <v>6875</v>
      </c>
      <c r="BL1427" s="1" t="s">
        <v>1877</v>
      </c>
      <c r="BM1427" s="2" t="s">
        <v>6876</v>
      </c>
      <c r="BN1427" s="1" t="s">
        <v>3497</v>
      </c>
      <c r="BO1427" s="2" t="s">
        <v>6877</v>
      </c>
    </row>
    <row r="1428" spans="1:71" ht="216" x14ac:dyDescent="0.45">
      <c r="A1428" s="5">
        <v>1427</v>
      </c>
      <c r="B1428" s="6" t="s">
        <v>1163</v>
      </c>
      <c r="C1428" s="6" t="s">
        <v>1816</v>
      </c>
      <c r="D1428" s="7" t="s">
        <v>9794</v>
      </c>
      <c r="E1428" s="1" t="s">
        <v>1163</v>
      </c>
      <c r="F1428" s="1"/>
      <c r="G1428" s="1"/>
      <c r="J1428" s="1" t="s">
        <v>9795</v>
      </c>
      <c r="L1428" s="3" t="s">
        <v>9978</v>
      </c>
      <c r="P1428" s="7" t="s">
        <v>1241</v>
      </c>
      <c r="AU1428" s="15"/>
      <c r="AV1428" s="1" t="s">
        <v>38</v>
      </c>
      <c r="BG1428" s="7" t="s">
        <v>1242</v>
      </c>
      <c r="BH1428" s="1" t="s">
        <v>2036</v>
      </c>
      <c r="BI1428" s="2" t="s">
        <v>6878</v>
      </c>
      <c r="BJ1428" s="1" t="s">
        <v>1959</v>
      </c>
      <c r="BK1428" s="2" t="s">
        <v>6879</v>
      </c>
      <c r="BL1428" s="1" t="s">
        <v>1875</v>
      </c>
      <c r="BM1428" s="2" t="s">
        <v>6880</v>
      </c>
    </row>
    <row r="1429" spans="1:71" ht="162" x14ac:dyDescent="0.45">
      <c r="A1429" s="5">
        <v>1428</v>
      </c>
      <c r="B1429" s="6" t="s">
        <v>1164</v>
      </c>
      <c r="C1429" s="6" t="s">
        <v>1816</v>
      </c>
      <c r="D1429" s="7" t="s">
        <v>9794</v>
      </c>
      <c r="E1429" s="1" t="s">
        <v>1164</v>
      </c>
      <c r="F1429" s="1"/>
      <c r="G1429" s="1"/>
      <c r="J1429" s="1" t="s">
        <v>9795</v>
      </c>
      <c r="L1429" s="3" t="s">
        <v>9979</v>
      </c>
      <c r="P1429" s="7" t="s">
        <v>1241</v>
      </c>
      <c r="AV1429" s="1" t="s">
        <v>38</v>
      </c>
      <c r="BG1429" s="7" t="s">
        <v>1242</v>
      </c>
      <c r="BH1429" s="1" t="s">
        <v>1947</v>
      </c>
      <c r="BI1429" s="1" t="s">
        <v>6881</v>
      </c>
      <c r="BJ1429" s="1" t="s">
        <v>2026</v>
      </c>
      <c r="BK1429" s="1" t="s">
        <v>6882</v>
      </c>
      <c r="BL1429" s="1" t="s">
        <v>1959</v>
      </c>
      <c r="BM1429" s="2" t="s">
        <v>6883</v>
      </c>
      <c r="BN1429" s="1" t="s">
        <v>1875</v>
      </c>
      <c r="BO1429" s="2" t="s">
        <v>6884</v>
      </c>
      <c r="BP1429" s="1" t="s">
        <v>1877</v>
      </c>
      <c r="BQ1429" s="2" t="s">
        <v>6885</v>
      </c>
      <c r="BR1429" s="1" t="s">
        <v>3497</v>
      </c>
      <c r="BS1429" s="2" t="s">
        <v>6886</v>
      </c>
    </row>
    <row r="1430" spans="1:71" ht="216" x14ac:dyDescent="0.45">
      <c r="A1430" s="5">
        <v>1429</v>
      </c>
      <c r="B1430" s="6" t="s">
        <v>1165</v>
      </c>
      <c r="C1430" s="6" t="s">
        <v>1816</v>
      </c>
      <c r="D1430" s="7" t="s">
        <v>9794</v>
      </c>
      <c r="E1430" s="1" t="s">
        <v>1165</v>
      </c>
      <c r="F1430" s="1"/>
      <c r="G1430" s="1"/>
      <c r="J1430" s="1" t="s">
        <v>9795</v>
      </c>
      <c r="L1430" s="2" t="s">
        <v>9980</v>
      </c>
      <c r="P1430" s="7" t="s">
        <v>1241</v>
      </c>
      <c r="AV1430" s="1" t="s">
        <v>38</v>
      </c>
      <c r="BG1430" s="7" t="s">
        <v>1242</v>
      </c>
      <c r="BH1430" s="1" t="s">
        <v>1872</v>
      </c>
      <c r="BI1430" s="1" t="s">
        <v>6887</v>
      </c>
      <c r="BJ1430" s="1" t="s">
        <v>1875</v>
      </c>
      <c r="BK1430" s="1" t="s">
        <v>6888</v>
      </c>
    </row>
    <row r="1431" spans="1:71" ht="234" x14ac:dyDescent="0.45">
      <c r="A1431" s="5">
        <v>1430</v>
      </c>
      <c r="B1431" s="6" t="s">
        <v>1166</v>
      </c>
      <c r="C1431" s="6" t="s">
        <v>1816</v>
      </c>
      <c r="D1431" s="7" t="s">
        <v>9794</v>
      </c>
      <c r="E1431" s="1" t="s">
        <v>1505</v>
      </c>
      <c r="F1431" s="1" t="s">
        <v>6889</v>
      </c>
      <c r="G1431" s="1"/>
      <c r="J1431" s="1" t="s">
        <v>9795</v>
      </c>
      <c r="L1431" s="3" t="s">
        <v>9981</v>
      </c>
      <c r="P1431" s="7" t="s">
        <v>1241</v>
      </c>
      <c r="AU1431" s="15"/>
      <c r="AV1431" s="1" t="s">
        <v>38</v>
      </c>
      <c r="BG1431" s="7" t="s">
        <v>1242</v>
      </c>
      <c r="BH1431" s="1" t="s">
        <v>1959</v>
      </c>
      <c r="BI1431" s="2" t="s">
        <v>6890</v>
      </c>
      <c r="BJ1431" s="1" t="s">
        <v>1875</v>
      </c>
      <c r="BK1431" s="2" t="s">
        <v>6891</v>
      </c>
    </row>
    <row r="1432" spans="1:71" ht="144" x14ac:dyDescent="0.45">
      <c r="A1432" s="5">
        <v>1431</v>
      </c>
      <c r="B1432" s="6" t="s">
        <v>1167</v>
      </c>
      <c r="C1432" s="6" t="s">
        <v>1816</v>
      </c>
      <c r="D1432" s="7" t="s">
        <v>9794</v>
      </c>
      <c r="E1432" s="1" t="s">
        <v>1505</v>
      </c>
      <c r="F1432" s="1" t="s">
        <v>6892</v>
      </c>
      <c r="G1432" s="1"/>
      <c r="J1432" s="1" t="s">
        <v>9795</v>
      </c>
      <c r="L1432" s="3" t="s">
        <v>9982</v>
      </c>
      <c r="P1432" s="7" t="s">
        <v>1241</v>
      </c>
      <c r="AU1432" s="15"/>
      <c r="AV1432" s="1" t="s">
        <v>38</v>
      </c>
      <c r="BG1432" s="7" t="s">
        <v>1242</v>
      </c>
      <c r="BH1432" s="1" t="s">
        <v>1947</v>
      </c>
      <c r="BI1432" s="2" t="s">
        <v>6893</v>
      </c>
      <c r="BJ1432" s="1" t="s">
        <v>1877</v>
      </c>
      <c r="BK1432" s="2" t="s">
        <v>6894</v>
      </c>
    </row>
    <row r="1433" spans="1:71" ht="216" x14ac:dyDescent="0.45">
      <c r="A1433" s="5">
        <v>1432</v>
      </c>
      <c r="B1433" s="6" t="s">
        <v>1168</v>
      </c>
      <c r="C1433" s="6" t="s">
        <v>1816</v>
      </c>
      <c r="D1433" s="7" t="s">
        <v>9794</v>
      </c>
      <c r="E1433" s="1" t="s">
        <v>5001</v>
      </c>
      <c r="F1433" s="1" t="s">
        <v>5860</v>
      </c>
      <c r="G1433" s="1"/>
      <c r="J1433" s="1" t="s">
        <v>9795</v>
      </c>
      <c r="L1433" s="3" t="s">
        <v>9983</v>
      </c>
      <c r="P1433" s="7" t="s">
        <v>1241</v>
      </c>
      <c r="Q1433" s="13" t="str">
        <f>INDEX($L:$L, MATCH("mineral", $B:$B, 0))</f>
        <v>&lt;span class="w"&gt;&lt;b&gt;【967.mineral：鉱物, ミネラル】&lt;/b&gt;&lt;/span&gt;
&lt;span class="ml"&gt;ラテン語にminera（鉱山）に由来する。
&lt;span class="spacer"&gt;&lt;/span&gt;この語の核は「鉱山で採掘されたもの」。そこから「鉱物, ミネラル」という意味になった。&lt;/span&gt;</v>
      </c>
      <c r="R1433" s="13" t="str">
        <f>INDEX($L:$L, MATCH("landmine", $B:$B, 0))</f>
        <v>&lt;span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v>
      </c>
      <c r="AV1433" s="1" t="s">
        <v>38</v>
      </c>
      <c r="BG1433" s="7" t="s">
        <v>1242</v>
      </c>
      <c r="BH1433" s="1" t="s">
        <v>1967</v>
      </c>
      <c r="BI1433" s="1" t="s">
        <v>6895</v>
      </c>
      <c r="BJ1433" s="1" t="s">
        <v>1959</v>
      </c>
      <c r="BK1433" s="2" t="s">
        <v>6896</v>
      </c>
      <c r="BL1433" s="1" t="s">
        <v>1875</v>
      </c>
      <c r="BM1433" s="2" t="s">
        <v>6897</v>
      </c>
    </row>
    <row r="1434" spans="1:71" ht="180" x14ac:dyDescent="0.45">
      <c r="A1434" s="5">
        <v>1433</v>
      </c>
      <c r="B1434" s="6" t="s">
        <v>1169</v>
      </c>
      <c r="C1434" s="6" t="s">
        <v>1816</v>
      </c>
      <c r="D1434" s="7" t="s">
        <v>9794</v>
      </c>
      <c r="E1434" s="1" t="s">
        <v>1721</v>
      </c>
      <c r="F1434" s="1" t="s">
        <v>6898</v>
      </c>
      <c r="G1434" s="1"/>
      <c r="J1434" s="1" t="s">
        <v>9795</v>
      </c>
      <c r="L1434" s="3" t="s">
        <v>9984</v>
      </c>
      <c r="P1434" s="7" t="s">
        <v>1241</v>
      </c>
      <c r="AU1434" s="15"/>
      <c r="AV1434" s="1" t="s">
        <v>38</v>
      </c>
      <c r="BG1434" s="7" t="s">
        <v>1242</v>
      </c>
      <c r="BH1434" s="1" t="s">
        <v>1947</v>
      </c>
      <c r="BI1434" s="2" t="s">
        <v>6899</v>
      </c>
      <c r="BJ1434" s="1" t="s">
        <v>1959</v>
      </c>
      <c r="BK1434" s="2" t="s">
        <v>6900</v>
      </c>
      <c r="BL1434" s="1" t="s">
        <v>1875</v>
      </c>
      <c r="BM1434" s="2" t="s">
        <v>6901</v>
      </c>
    </row>
    <row r="1435" spans="1:71" ht="72" x14ac:dyDescent="0.45">
      <c r="A1435" s="5">
        <v>1434</v>
      </c>
      <c r="B1435" s="6" t="s">
        <v>1170</v>
      </c>
      <c r="C1435" s="6" t="s">
        <v>1816</v>
      </c>
      <c r="D1435" s="7" t="s">
        <v>9794</v>
      </c>
      <c r="E1435" s="1" t="s">
        <v>1170</v>
      </c>
      <c r="F1435" s="1"/>
      <c r="G1435" s="1"/>
      <c r="J1435" s="1" t="s">
        <v>9795</v>
      </c>
      <c r="L1435" s="2" t="s">
        <v>9985</v>
      </c>
      <c r="P1435" s="7" t="s">
        <v>1241</v>
      </c>
      <c r="AV1435" s="1" t="s">
        <v>38</v>
      </c>
      <c r="BG1435" s="7" t="s">
        <v>1242</v>
      </c>
      <c r="BH1435" s="1" t="s">
        <v>1872</v>
      </c>
      <c r="BI1435" s="1" t="s">
        <v>6902</v>
      </c>
      <c r="BJ1435" s="1" t="s">
        <v>1875</v>
      </c>
      <c r="BK1435" s="2" t="s">
        <v>6903</v>
      </c>
    </row>
    <row r="1436" spans="1:71" ht="252" x14ac:dyDescent="0.45">
      <c r="A1436" s="5">
        <v>1435</v>
      </c>
      <c r="B1436" s="8" t="s">
        <v>1171</v>
      </c>
      <c r="C1436" s="6" t="s">
        <v>1816</v>
      </c>
      <c r="D1436" s="7" t="s">
        <v>9794</v>
      </c>
      <c r="E1436" s="1" t="s">
        <v>1505</v>
      </c>
      <c r="F1436" s="1" t="s">
        <v>4640</v>
      </c>
      <c r="G1436" s="1"/>
      <c r="J1436" s="1" t="s">
        <v>9795</v>
      </c>
      <c r="L1436" s="3" t="s">
        <v>11655</v>
      </c>
      <c r="M1436" s="1" t="s">
        <v>12207</v>
      </c>
      <c r="P1436" s="7" t="s">
        <v>1241</v>
      </c>
      <c r="Q1436"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436"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436"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436"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436"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436"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1436"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1436"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1436"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1436"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1436"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1436"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436"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436"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436"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1436" s="15"/>
      <c r="AV1436" s="1" t="s">
        <v>38</v>
      </c>
      <c r="BG1436" s="7" t="s">
        <v>1242</v>
      </c>
      <c r="BH1436" s="1" t="s">
        <v>1947</v>
      </c>
      <c r="BI1436" s="2" t="s">
        <v>6904</v>
      </c>
      <c r="BJ1436" s="1" t="s">
        <v>1959</v>
      </c>
      <c r="BK1436" s="2" t="s">
        <v>6905</v>
      </c>
      <c r="BL1436" s="1" t="s">
        <v>1875</v>
      </c>
      <c r="BM1436" s="2" t="s">
        <v>6906</v>
      </c>
    </row>
    <row r="1437" spans="1:71" ht="162" x14ac:dyDescent="0.45">
      <c r="A1437" s="5">
        <v>1436</v>
      </c>
      <c r="B1437" s="6" t="s">
        <v>1172</v>
      </c>
      <c r="C1437" s="6" t="s">
        <v>1816</v>
      </c>
      <c r="D1437" s="7" t="s">
        <v>9794</v>
      </c>
      <c r="E1437" s="6" t="s">
        <v>1172</v>
      </c>
      <c r="F1437" s="1"/>
      <c r="G1437" s="1"/>
      <c r="J1437" s="1" t="s">
        <v>9795</v>
      </c>
      <c r="K1437" s="2"/>
      <c r="L1437" s="3" t="s">
        <v>9986</v>
      </c>
      <c r="P1437" s="7" t="s">
        <v>1241</v>
      </c>
      <c r="AU1437" s="15"/>
      <c r="AV1437" s="1" t="s">
        <v>38</v>
      </c>
      <c r="BG1437" s="7" t="s">
        <v>1242</v>
      </c>
      <c r="BH1437" s="1" t="s">
        <v>1875</v>
      </c>
      <c r="BI1437" s="2" t="s">
        <v>6907</v>
      </c>
      <c r="BJ1437" s="1" t="s">
        <v>1877</v>
      </c>
      <c r="BK1437" s="2" t="s">
        <v>6908</v>
      </c>
      <c r="BL1437" s="1" t="s">
        <v>3497</v>
      </c>
      <c r="BM1437" s="2" t="s">
        <v>6909</v>
      </c>
    </row>
    <row r="1438" spans="1:71" ht="144" x14ac:dyDescent="0.45">
      <c r="A1438" s="5">
        <v>1437</v>
      </c>
      <c r="B1438" s="6" t="s">
        <v>1173</v>
      </c>
      <c r="C1438" s="6" t="s">
        <v>1816</v>
      </c>
      <c r="D1438" s="7" t="s">
        <v>9794</v>
      </c>
      <c r="E1438" s="1" t="s">
        <v>1173</v>
      </c>
      <c r="F1438" s="1"/>
      <c r="G1438" s="1"/>
      <c r="J1438" s="1" t="s">
        <v>9795</v>
      </c>
      <c r="L1438" s="2" t="s">
        <v>9987</v>
      </c>
      <c r="P1438" s="7" t="s">
        <v>1241</v>
      </c>
      <c r="Q1438" s="13" t="str">
        <f>INDEX($L:$L, MATCH("web", $B:$B, 0))</f>
        <v>&lt;span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v>
      </c>
      <c r="AV1438" s="1" t="s">
        <v>38</v>
      </c>
      <c r="BG1438" s="7" t="s">
        <v>1242</v>
      </c>
      <c r="BH1438" s="1" t="s">
        <v>1872</v>
      </c>
      <c r="BI1438" s="1" t="s">
        <v>6910</v>
      </c>
      <c r="BJ1438" s="1" t="s">
        <v>1875</v>
      </c>
      <c r="BK1438" s="2" t="s">
        <v>6911</v>
      </c>
    </row>
    <row r="1439" spans="1:71" ht="180" x14ac:dyDescent="0.45">
      <c r="A1439" s="5">
        <v>1438</v>
      </c>
      <c r="B1439" s="8" t="s">
        <v>1174</v>
      </c>
      <c r="C1439" s="6" t="s">
        <v>1816</v>
      </c>
      <c r="D1439" s="7" t="s">
        <v>9794</v>
      </c>
      <c r="E1439" s="1" t="s">
        <v>1251</v>
      </c>
      <c r="F1439" s="1" t="s">
        <v>1410</v>
      </c>
      <c r="G1439" s="1"/>
      <c r="J1439" s="1" t="s">
        <v>9795</v>
      </c>
      <c r="L1439" s="3" t="s">
        <v>9988</v>
      </c>
      <c r="M1439" s="1" t="s">
        <v>12227</v>
      </c>
      <c r="P1439" s="7" t="s">
        <v>1241</v>
      </c>
      <c r="Q1439" s="13"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R1439" s="13"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S1439" s="13"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T1439" s="13"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AV1439" s="1" t="s">
        <v>38</v>
      </c>
      <c r="BG1439" s="7" t="s">
        <v>1242</v>
      </c>
      <c r="BH1439" s="1" t="s">
        <v>1947</v>
      </c>
      <c r="BI1439" s="1" t="s">
        <v>6912</v>
      </c>
      <c r="BJ1439" s="1" t="s">
        <v>1959</v>
      </c>
      <c r="BK1439" s="1" t="s">
        <v>6913</v>
      </c>
      <c r="BL1439" s="1" t="s">
        <v>1875</v>
      </c>
      <c r="BM1439" s="2" t="s">
        <v>6914</v>
      </c>
      <c r="BN1439" s="1" t="s">
        <v>1877</v>
      </c>
      <c r="BO1439" s="2" t="s">
        <v>6915</v>
      </c>
    </row>
    <row r="1440" spans="1:71" ht="126" x14ac:dyDescent="0.45">
      <c r="A1440" s="5">
        <v>1439</v>
      </c>
      <c r="B1440" s="8" t="s">
        <v>1175</v>
      </c>
      <c r="C1440" s="6" t="s">
        <v>1816</v>
      </c>
      <c r="D1440" s="7" t="s">
        <v>9794</v>
      </c>
      <c r="E1440" s="1" t="s">
        <v>1447</v>
      </c>
      <c r="F1440" s="1" t="s">
        <v>6916</v>
      </c>
      <c r="G1440" s="1"/>
      <c r="J1440" s="1" t="s">
        <v>9795</v>
      </c>
      <c r="L1440" s="2" t="s">
        <v>9989</v>
      </c>
      <c r="P1440" s="7" t="s">
        <v>1241</v>
      </c>
      <c r="AU1440" s="15"/>
      <c r="AV1440" s="1" t="s">
        <v>38</v>
      </c>
      <c r="BG1440" s="7" t="s">
        <v>1242</v>
      </c>
      <c r="BH1440" s="1" t="s">
        <v>1959</v>
      </c>
      <c r="BI1440" s="2" t="s">
        <v>6917</v>
      </c>
      <c r="BJ1440" s="1" t="s">
        <v>1875</v>
      </c>
      <c r="BK1440" s="2" t="s">
        <v>6918</v>
      </c>
      <c r="BL1440" s="1" t="s">
        <v>1877</v>
      </c>
      <c r="BM1440" s="2" t="s">
        <v>6919</v>
      </c>
      <c r="BN1440" s="1" t="s">
        <v>3497</v>
      </c>
      <c r="BO1440" s="2" t="s">
        <v>6920</v>
      </c>
    </row>
    <row r="1441" spans="1:69" ht="198" x14ac:dyDescent="0.45">
      <c r="A1441" s="5">
        <v>1440</v>
      </c>
      <c r="B1441" s="6" t="s">
        <v>1176</v>
      </c>
      <c r="C1441" s="6" t="s">
        <v>1816</v>
      </c>
      <c r="D1441" s="7" t="s">
        <v>9794</v>
      </c>
      <c r="E1441" s="1" t="s">
        <v>6921</v>
      </c>
      <c r="F1441" s="1" t="s">
        <v>1918</v>
      </c>
      <c r="G1441" s="1" t="s">
        <v>1818</v>
      </c>
      <c r="J1441" s="1" t="s">
        <v>9795</v>
      </c>
      <c r="L1441" s="2" t="s">
        <v>9990</v>
      </c>
      <c r="M1441" s="1" t="s">
        <v>12243</v>
      </c>
      <c r="P1441" s="7" t="s">
        <v>1241</v>
      </c>
      <c r="Q1441" s="13"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R1441" s="13"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S1441" s="13"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AU1441" s="15"/>
      <c r="AV1441" s="1" t="s">
        <v>38</v>
      </c>
      <c r="BG1441" s="7" t="s">
        <v>1242</v>
      </c>
      <c r="BH1441" s="1" t="s">
        <v>1947</v>
      </c>
      <c r="BI1441" s="2" t="s">
        <v>6922</v>
      </c>
      <c r="BJ1441" s="1" t="s">
        <v>1877</v>
      </c>
      <c r="BK1441" s="2" t="s">
        <v>6923</v>
      </c>
    </row>
    <row r="1442" spans="1:69" ht="126" x14ac:dyDescent="0.45">
      <c r="A1442" s="5">
        <v>1441</v>
      </c>
      <c r="B1442" s="6" t="s">
        <v>1177</v>
      </c>
      <c r="C1442" s="6" t="s">
        <v>6851</v>
      </c>
      <c r="D1442" s="7" t="s">
        <v>9794</v>
      </c>
      <c r="E1442" s="1" t="s">
        <v>6924</v>
      </c>
      <c r="F1442" s="1" t="s">
        <v>1856</v>
      </c>
      <c r="G1442" s="1"/>
      <c r="J1442" s="1" t="s">
        <v>9795</v>
      </c>
      <c r="L1442" s="2" t="s">
        <v>9991</v>
      </c>
      <c r="P1442" s="7" t="s">
        <v>1241</v>
      </c>
      <c r="AU1442" s="15"/>
      <c r="AV1442" s="1" t="s">
        <v>38</v>
      </c>
      <c r="BG1442" s="7" t="s">
        <v>1242</v>
      </c>
      <c r="BH1442" s="1" t="s">
        <v>1875</v>
      </c>
      <c r="BI1442" s="2" t="s">
        <v>6925</v>
      </c>
      <c r="BJ1442" s="1" t="s">
        <v>1877</v>
      </c>
      <c r="BK1442" s="2" t="s">
        <v>6926</v>
      </c>
    </row>
    <row r="1443" spans="1:69" ht="180" x14ac:dyDescent="0.45">
      <c r="A1443" s="5">
        <v>1442</v>
      </c>
      <c r="B1443" s="6" t="s">
        <v>1178</v>
      </c>
      <c r="C1443" s="6" t="s">
        <v>6851</v>
      </c>
      <c r="D1443" s="7" t="s">
        <v>9794</v>
      </c>
      <c r="E1443" s="1" t="s">
        <v>6927</v>
      </c>
      <c r="F1443" s="1" t="s">
        <v>6928</v>
      </c>
      <c r="G1443" s="1"/>
      <c r="J1443" s="1" t="s">
        <v>9795</v>
      </c>
      <c r="K1443" s="2"/>
      <c r="L1443" s="2" t="s">
        <v>9992</v>
      </c>
      <c r="P1443" s="7" t="s">
        <v>1241</v>
      </c>
      <c r="AU1443" s="15"/>
      <c r="AV1443" s="1" t="s">
        <v>38</v>
      </c>
      <c r="BG1443" s="7" t="s">
        <v>1242</v>
      </c>
      <c r="BH1443" s="1" t="s">
        <v>1947</v>
      </c>
      <c r="BI1443" s="2" t="s">
        <v>6929</v>
      </c>
      <c r="BJ1443" s="1" t="s">
        <v>1996</v>
      </c>
      <c r="BK1443" s="1" t="s">
        <v>6930</v>
      </c>
      <c r="BL1443" s="1" t="s">
        <v>1877</v>
      </c>
      <c r="BM1443" s="2" t="s">
        <v>6931</v>
      </c>
    </row>
    <row r="1444" spans="1:69" ht="180" x14ac:dyDescent="0.45">
      <c r="A1444" s="5">
        <v>1443</v>
      </c>
      <c r="B1444" s="6" t="s">
        <v>1179</v>
      </c>
      <c r="C1444" s="6" t="s">
        <v>6851</v>
      </c>
      <c r="D1444" s="7" t="s">
        <v>9794</v>
      </c>
      <c r="E1444" s="1" t="s">
        <v>1660</v>
      </c>
      <c r="F1444" s="1" t="s">
        <v>6932</v>
      </c>
      <c r="G1444" s="1"/>
      <c r="J1444" s="1" t="s">
        <v>9795</v>
      </c>
      <c r="K1444" s="2" t="s">
        <v>9993</v>
      </c>
      <c r="L1444" s="3" t="s">
        <v>9994</v>
      </c>
      <c r="P1444" s="7" t="s">
        <v>1241</v>
      </c>
      <c r="AU1444" s="15"/>
      <c r="AV1444" s="1" t="s">
        <v>38</v>
      </c>
      <c r="BG1444" s="7" t="s">
        <v>1242</v>
      </c>
      <c r="BH1444" s="1" t="s">
        <v>1875</v>
      </c>
      <c r="BI1444" s="2" t="s">
        <v>6933</v>
      </c>
      <c r="BJ1444" s="1" t="s">
        <v>1877</v>
      </c>
      <c r="BK1444" s="2" t="s">
        <v>6934</v>
      </c>
      <c r="BL1444" s="1" t="s">
        <v>3497</v>
      </c>
      <c r="BM1444" s="2" t="s">
        <v>6935</v>
      </c>
    </row>
    <row r="1445" spans="1:69" ht="234" x14ac:dyDescent="0.45">
      <c r="A1445" s="5">
        <v>1444</v>
      </c>
      <c r="B1445" s="8" t="s">
        <v>1180</v>
      </c>
      <c r="C1445" s="6" t="s">
        <v>6851</v>
      </c>
      <c r="D1445" s="7" t="s">
        <v>9794</v>
      </c>
      <c r="E1445" s="1" t="s">
        <v>1251</v>
      </c>
      <c r="F1445" s="1" t="s">
        <v>6936</v>
      </c>
      <c r="G1445" s="1" t="s">
        <v>1946</v>
      </c>
      <c r="J1445" s="1" t="s">
        <v>9795</v>
      </c>
      <c r="L1445" s="2" t="s">
        <v>9995</v>
      </c>
      <c r="P1445" s="7" t="s">
        <v>1241</v>
      </c>
      <c r="Q1445" s="13"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AU1445" s="15"/>
      <c r="AV1445" s="1" t="s">
        <v>38</v>
      </c>
      <c r="BG1445" s="7" t="s">
        <v>1242</v>
      </c>
      <c r="BH1445" s="1" t="s">
        <v>1947</v>
      </c>
      <c r="BI1445" s="2" t="s">
        <v>6937</v>
      </c>
      <c r="BJ1445" s="1" t="s">
        <v>1959</v>
      </c>
      <c r="BK1445" s="2" t="s">
        <v>6938</v>
      </c>
      <c r="BL1445" s="1" t="s">
        <v>1875</v>
      </c>
      <c r="BM1445" s="2" t="s">
        <v>6939</v>
      </c>
    </row>
    <row r="1446" spans="1:69" ht="108" x14ac:dyDescent="0.45">
      <c r="A1446" s="5">
        <v>1445</v>
      </c>
      <c r="B1446" s="6" t="s">
        <v>1181</v>
      </c>
      <c r="C1446" s="6" t="s">
        <v>6851</v>
      </c>
      <c r="D1446" s="7" t="s">
        <v>9794</v>
      </c>
      <c r="E1446" s="6" t="s">
        <v>1181</v>
      </c>
      <c r="F1446" s="1"/>
      <c r="G1446" s="1"/>
      <c r="J1446" s="1" t="s">
        <v>9795</v>
      </c>
      <c r="L1446" s="2" t="s">
        <v>9996</v>
      </c>
      <c r="P1446" s="7" t="s">
        <v>1241</v>
      </c>
      <c r="AU1446" s="15"/>
      <c r="AV1446" s="1" t="s">
        <v>38</v>
      </c>
      <c r="BG1446" s="7" t="s">
        <v>1242</v>
      </c>
      <c r="BH1446" s="1" t="s">
        <v>1947</v>
      </c>
      <c r="BI1446" s="2" t="s">
        <v>6940</v>
      </c>
      <c r="BJ1446" s="1" t="s">
        <v>1959</v>
      </c>
      <c r="BK1446" s="1" t="s">
        <v>6941</v>
      </c>
      <c r="BL1446" s="1" t="s">
        <v>4975</v>
      </c>
      <c r="BM1446" s="1" t="s">
        <v>6942</v>
      </c>
      <c r="BN1446" s="1" t="s">
        <v>1875</v>
      </c>
      <c r="BO1446" s="2" t="s">
        <v>6943</v>
      </c>
    </row>
    <row r="1447" spans="1:69" ht="198" x14ac:dyDescent="0.45">
      <c r="A1447" s="5">
        <v>1446</v>
      </c>
      <c r="B1447" s="8" t="s">
        <v>1182</v>
      </c>
      <c r="C1447" s="6" t="s">
        <v>6851</v>
      </c>
      <c r="D1447" s="7" t="s">
        <v>9794</v>
      </c>
      <c r="E1447" s="1" t="s">
        <v>1251</v>
      </c>
      <c r="F1447" s="1" t="s">
        <v>1425</v>
      </c>
      <c r="G1447" s="1" t="s">
        <v>1584</v>
      </c>
      <c r="J1447" s="1" t="s">
        <v>9795</v>
      </c>
      <c r="K1447" s="1" t="s">
        <v>6944</v>
      </c>
      <c r="L1447" s="2" t="s">
        <v>9997</v>
      </c>
      <c r="M1447" s="1" t="s">
        <v>12235</v>
      </c>
      <c r="P1447" s="7" t="s">
        <v>1241</v>
      </c>
      <c r="Q1447" s="13"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1447" s="13"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S1447" s="13"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T1447" s="13"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U1447" s="15"/>
      <c r="AV1447" s="1" t="s">
        <v>38</v>
      </c>
      <c r="BG1447" s="7" t="s">
        <v>1242</v>
      </c>
      <c r="BH1447" s="1" t="s">
        <v>1947</v>
      </c>
      <c r="BI1447" s="2" t="s">
        <v>6945</v>
      </c>
      <c r="BJ1447" s="1" t="s">
        <v>1959</v>
      </c>
      <c r="BK1447" s="1" t="s">
        <v>1182</v>
      </c>
      <c r="BL1447" s="1" t="s">
        <v>1875</v>
      </c>
      <c r="BM1447" s="2" t="s">
        <v>6946</v>
      </c>
      <c r="BN1447" s="1" t="s">
        <v>1877</v>
      </c>
      <c r="BO1447" s="2" t="s">
        <v>6947</v>
      </c>
      <c r="BP1447" s="1" t="s">
        <v>3497</v>
      </c>
      <c r="BQ1447" s="2" t="s">
        <v>6948</v>
      </c>
    </row>
    <row r="1448" spans="1:69" ht="180" x14ac:dyDescent="0.45">
      <c r="A1448" s="5">
        <v>1447</v>
      </c>
      <c r="B1448" s="8" t="s">
        <v>1183</v>
      </c>
      <c r="C1448" s="6" t="s">
        <v>6851</v>
      </c>
      <c r="D1448" s="7" t="s">
        <v>9794</v>
      </c>
      <c r="E1448" s="1" t="s">
        <v>1725</v>
      </c>
      <c r="F1448" s="1" t="s">
        <v>1731</v>
      </c>
      <c r="G1448" s="1" t="s">
        <v>1584</v>
      </c>
      <c r="J1448" s="1" t="s">
        <v>9795</v>
      </c>
      <c r="L1448" s="3" t="s">
        <v>9998</v>
      </c>
      <c r="M1448" s="1" t="s">
        <v>12228</v>
      </c>
      <c r="P1448" s="7" t="s">
        <v>1241</v>
      </c>
      <c r="Q1448"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448"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1448"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T1448" s="13"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1448" s="13"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1448" s="13"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1448" s="13"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1448" s="13"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1448" s="15"/>
      <c r="AV1448" s="1" t="s">
        <v>38</v>
      </c>
      <c r="BG1448" s="7" t="s">
        <v>1242</v>
      </c>
      <c r="BH1448" s="1" t="s">
        <v>1947</v>
      </c>
      <c r="BI1448" s="2" t="s">
        <v>6949</v>
      </c>
      <c r="BJ1448" s="1" t="s">
        <v>2036</v>
      </c>
      <c r="BK1448" s="2" t="s">
        <v>6950</v>
      </c>
      <c r="BL1448" s="1" t="s">
        <v>1959</v>
      </c>
      <c r="BM1448" s="1" t="s">
        <v>6951</v>
      </c>
      <c r="BN1448" s="1" t="s">
        <v>1875</v>
      </c>
      <c r="BO1448" s="2" t="s">
        <v>6952</v>
      </c>
      <c r="BP1448" s="1" t="s">
        <v>1877</v>
      </c>
      <c r="BQ1448" s="2" t="s">
        <v>6953</v>
      </c>
    </row>
    <row r="1449" spans="1:69" ht="198" x14ac:dyDescent="0.45">
      <c r="A1449" s="5">
        <v>1448</v>
      </c>
      <c r="B1449" s="6" t="s">
        <v>1184</v>
      </c>
      <c r="C1449" s="6" t="s">
        <v>6851</v>
      </c>
      <c r="D1449" s="7" t="s">
        <v>9794</v>
      </c>
      <c r="E1449" s="1" t="s">
        <v>6954</v>
      </c>
      <c r="F1449" s="1" t="s">
        <v>1584</v>
      </c>
      <c r="G1449" s="1"/>
      <c r="J1449" s="1" t="s">
        <v>9795</v>
      </c>
      <c r="L1449" s="2" t="s">
        <v>9999</v>
      </c>
      <c r="M1449" s="1" t="s">
        <v>12273</v>
      </c>
      <c r="P1449" s="7" t="s">
        <v>1241</v>
      </c>
      <c r="Q1449" s="13"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R1449" s="13"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U1449" s="15"/>
      <c r="AV1449" s="1" t="s">
        <v>38</v>
      </c>
      <c r="BG1449" s="7" t="s">
        <v>1242</v>
      </c>
      <c r="BH1449" s="1" t="s">
        <v>1976</v>
      </c>
      <c r="BI1449" s="2" t="s">
        <v>6955</v>
      </c>
      <c r="BJ1449" s="1" t="s">
        <v>4020</v>
      </c>
      <c r="BK1449" s="2" t="s">
        <v>6956</v>
      </c>
      <c r="BL1449" s="1" t="s">
        <v>1959</v>
      </c>
      <c r="BM1449" s="2" t="s">
        <v>6957</v>
      </c>
      <c r="BN1449" s="1" t="s">
        <v>1875</v>
      </c>
      <c r="BO1449" s="2" t="s">
        <v>6958</v>
      </c>
      <c r="BP1449" s="1" t="s">
        <v>1877</v>
      </c>
      <c r="BQ1449" s="2" t="s">
        <v>6959</v>
      </c>
    </row>
    <row r="1450" spans="1:69" ht="324" x14ac:dyDescent="0.45">
      <c r="A1450" s="5">
        <v>1449</v>
      </c>
      <c r="B1450" s="6" t="s">
        <v>1185</v>
      </c>
      <c r="C1450" s="6" t="s">
        <v>6851</v>
      </c>
      <c r="D1450" s="7" t="s">
        <v>9794</v>
      </c>
      <c r="E1450" s="1" t="s">
        <v>1185</v>
      </c>
      <c r="F1450" s="1"/>
      <c r="G1450" s="1"/>
      <c r="J1450" s="1" t="s">
        <v>9795</v>
      </c>
      <c r="L1450" s="2" t="s">
        <v>10005</v>
      </c>
      <c r="P1450" s="7" t="s">
        <v>1241</v>
      </c>
      <c r="AV1450" s="1" t="s">
        <v>38</v>
      </c>
      <c r="BG1450" s="7" t="s">
        <v>1242</v>
      </c>
      <c r="BH1450" s="1" t="s">
        <v>1872</v>
      </c>
      <c r="BI1450" s="1" t="s">
        <v>6960</v>
      </c>
      <c r="BJ1450" s="1" t="s">
        <v>1875</v>
      </c>
      <c r="BK1450" s="2" t="s">
        <v>6961</v>
      </c>
      <c r="BL1450" s="1" t="s">
        <v>1877</v>
      </c>
      <c r="BM1450" s="2" t="s">
        <v>6962</v>
      </c>
    </row>
    <row r="1451" spans="1:69" ht="234" x14ac:dyDescent="0.45">
      <c r="A1451" s="5">
        <v>1450</v>
      </c>
      <c r="B1451" s="8" t="s">
        <v>1186</v>
      </c>
      <c r="C1451" s="6" t="s">
        <v>6851</v>
      </c>
      <c r="D1451" s="7" t="s">
        <v>9794</v>
      </c>
      <c r="E1451" s="1" t="s">
        <v>1467</v>
      </c>
      <c r="F1451" s="1" t="s">
        <v>597</v>
      </c>
      <c r="G1451" s="1"/>
      <c r="J1451" s="1" t="s">
        <v>9795</v>
      </c>
      <c r="L1451" s="3" t="s">
        <v>10000</v>
      </c>
      <c r="M1451" s="1" t="s">
        <v>12198</v>
      </c>
      <c r="P1451" s="7" t="s">
        <v>1241</v>
      </c>
      <c r="Q1451" s="13" t="str">
        <f>INDEX($L:$L, MATCH("patient", $B:$B, 0))</f>
        <v>&lt;span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v>
      </c>
      <c r="R1451" s="13" t="str">
        <f>INDEX($L:$L, MATCH("passive", $B:$B, 0))</f>
        <v>&lt;span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v>
      </c>
      <c r="S1451" s="13" t="str">
        <f>INDEX($L:$L, MATCH("passion", $B:$B, 0))</f>
        <v>&lt;span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v>
      </c>
      <c r="AU1451" s="15"/>
      <c r="AV1451" s="1" t="s">
        <v>38</v>
      </c>
      <c r="BG1451" s="7" t="s">
        <v>1242</v>
      </c>
      <c r="BH1451" s="1" t="s">
        <v>1947</v>
      </c>
      <c r="BI1451" s="2" t="s">
        <v>6963</v>
      </c>
      <c r="BJ1451" s="1" t="s">
        <v>2036</v>
      </c>
      <c r="BK1451" s="2" t="s">
        <v>6964</v>
      </c>
      <c r="BL1451" s="1" t="s">
        <v>1959</v>
      </c>
      <c r="BM1451" s="2" t="s">
        <v>6965</v>
      </c>
      <c r="BN1451" s="1" t="s">
        <v>1875</v>
      </c>
      <c r="BO1451" s="2" t="s">
        <v>6966</v>
      </c>
    </row>
    <row r="1452" spans="1:69" ht="162" x14ac:dyDescent="0.45">
      <c r="A1452" s="5">
        <v>1451</v>
      </c>
      <c r="B1452" s="8" t="s">
        <v>1187</v>
      </c>
      <c r="C1452" s="6" t="s">
        <v>6851</v>
      </c>
      <c r="D1452" s="7" t="s">
        <v>9794</v>
      </c>
      <c r="E1452" s="1" t="s">
        <v>5813</v>
      </c>
      <c r="F1452" s="1" t="s">
        <v>1525</v>
      </c>
      <c r="G1452" s="1"/>
      <c r="J1452" s="1" t="s">
        <v>9795</v>
      </c>
      <c r="K1452" s="1" t="s">
        <v>6967</v>
      </c>
      <c r="L1452" s="2" t="s">
        <v>10006</v>
      </c>
      <c r="M1452" s="1" t="s">
        <v>12226</v>
      </c>
      <c r="P1452" s="7" t="s">
        <v>1241</v>
      </c>
      <c r="Q1452"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452"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452"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452"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452"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452"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452"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452"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1452"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1452"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1452"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1452"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1452"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D1452"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E1452"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1452" s="15"/>
      <c r="AV1452" s="1" t="s">
        <v>38</v>
      </c>
      <c r="BG1452" s="7" t="s">
        <v>1242</v>
      </c>
      <c r="BH1452" s="1" t="s">
        <v>1947</v>
      </c>
      <c r="BI1452" s="2" t="s">
        <v>6968</v>
      </c>
      <c r="BJ1452" s="1" t="s">
        <v>1994</v>
      </c>
      <c r="BK1452" s="1" t="s">
        <v>6969</v>
      </c>
      <c r="BL1452" s="1" t="s">
        <v>1996</v>
      </c>
      <c r="BM1452" s="2" t="s">
        <v>6970</v>
      </c>
      <c r="BN1452" s="1" t="s">
        <v>1877</v>
      </c>
      <c r="BO1452" s="2" t="s">
        <v>6971</v>
      </c>
    </row>
    <row r="1453" spans="1:69" ht="126" x14ac:dyDescent="0.45">
      <c r="A1453" s="5">
        <v>1452</v>
      </c>
      <c r="B1453" s="6" t="s">
        <v>1188</v>
      </c>
      <c r="C1453" s="6" t="s">
        <v>6851</v>
      </c>
      <c r="D1453" s="7" t="s">
        <v>9794</v>
      </c>
      <c r="E1453" s="6" t="s">
        <v>1188</v>
      </c>
      <c r="F1453" s="1"/>
      <c r="G1453" s="1"/>
      <c r="J1453" s="1" t="s">
        <v>9795</v>
      </c>
      <c r="L1453" s="2" t="s">
        <v>10007</v>
      </c>
      <c r="P1453" s="7" t="s">
        <v>1241</v>
      </c>
      <c r="AV1453" s="1" t="s">
        <v>38</v>
      </c>
      <c r="BG1453" s="7" t="s">
        <v>1242</v>
      </c>
      <c r="BH1453" s="1" t="s">
        <v>1872</v>
      </c>
      <c r="BI1453" s="1" t="s">
        <v>6972</v>
      </c>
      <c r="BJ1453" s="1" t="s">
        <v>1875</v>
      </c>
      <c r="BK1453" s="2" t="s">
        <v>6973</v>
      </c>
    </row>
    <row r="1454" spans="1:69" ht="126" x14ac:dyDescent="0.45">
      <c r="A1454" s="5">
        <v>1453</v>
      </c>
      <c r="B1454" s="6" t="s">
        <v>1189</v>
      </c>
      <c r="C1454" s="6" t="s">
        <v>6851</v>
      </c>
      <c r="D1454" s="7" t="s">
        <v>9794</v>
      </c>
      <c r="E1454" s="1" t="s">
        <v>6974</v>
      </c>
      <c r="F1454" s="1" t="s">
        <v>49</v>
      </c>
      <c r="G1454" s="1"/>
      <c r="J1454" s="1" t="s">
        <v>9795</v>
      </c>
      <c r="L1454" s="2" t="s">
        <v>10008</v>
      </c>
      <c r="P1454" s="7" t="s">
        <v>1241</v>
      </c>
      <c r="AV1454" s="1" t="s">
        <v>38</v>
      </c>
      <c r="BG1454" s="7" t="s">
        <v>1242</v>
      </c>
      <c r="BH1454" s="1" t="s">
        <v>1947</v>
      </c>
      <c r="BI1454" s="1" t="s">
        <v>6975</v>
      </c>
      <c r="BJ1454" s="1" t="s">
        <v>2036</v>
      </c>
      <c r="BK1454" s="2" t="s">
        <v>6976</v>
      </c>
      <c r="BL1454" s="1" t="s">
        <v>1967</v>
      </c>
      <c r="BM1454" s="1" t="s">
        <v>6977</v>
      </c>
      <c r="BN1454" s="1" t="s">
        <v>1875</v>
      </c>
      <c r="BO1454" s="2" t="s">
        <v>6978</v>
      </c>
      <c r="BP1454" s="1" t="s">
        <v>1877</v>
      </c>
      <c r="BQ1454" s="2" t="s">
        <v>6979</v>
      </c>
    </row>
    <row r="1455" spans="1:69" ht="144" x14ac:dyDescent="0.45">
      <c r="A1455" s="5">
        <v>1454</v>
      </c>
      <c r="B1455" s="6" t="s">
        <v>1190</v>
      </c>
      <c r="C1455" s="6" t="s">
        <v>6851</v>
      </c>
      <c r="D1455" s="7" t="s">
        <v>9794</v>
      </c>
      <c r="E1455" s="6" t="s">
        <v>1190</v>
      </c>
      <c r="F1455" s="1"/>
      <c r="G1455" s="1"/>
      <c r="J1455" s="1" t="s">
        <v>9795</v>
      </c>
      <c r="L1455" s="2" t="s">
        <v>10009</v>
      </c>
      <c r="P1455" s="7" t="s">
        <v>1241</v>
      </c>
      <c r="AU1455" s="15"/>
      <c r="AV1455" s="1" t="s">
        <v>38</v>
      </c>
      <c r="BG1455" s="7" t="s">
        <v>1242</v>
      </c>
      <c r="BH1455" s="1" t="s">
        <v>1947</v>
      </c>
      <c r="BI1455" s="2" t="s">
        <v>6980</v>
      </c>
      <c r="BJ1455" s="1" t="s">
        <v>1877</v>
      </c>
      <c r="BK1455" s="2" t="s">
        <v>6981</v>
      </c>
    </row>
    <row r="1456" spans="1:69" ht="288" x14ac:dyDescent="0.45">
      <c r="A1456" s="5">
        <v>1455</v>
      </c>
      <c r="B1456" s="6" t="s">
        <v>1191</v>
      </c>
      <c r="C1456" s="6" t="s">
        <v>6851</v>
      </c>
      <c r="D1456" s="7" t="s">
        <v>9794</v>
      </c>
      <c r="E1456" s="1" t="s">
        <v>1447</v>
      </c>
      <c r="F1456" s="1" t="s">
        <v>6982</v>
      </c>
      <c r="G1456" s="1" t="s">
        <v>6983</v>
      </c>
      <c r="J1456" s="1" t="s">
        <v>9795</v>
      </c>
      <c r="K1456" s="2" t="s">
        <v>10010</v>
      </c>
      <c r="L1456" s="3" t="s">
        <v>10011</v>
      </c>
      <c r="P1456" s="7" t="s">
        <v>1241</v>
      </c>
      <c r="AU1456" s="15"/>
      <c r="AV1456" s="1" t="s">
        <v>38</v>
      </c>
      <c r="BG1456" s="7" t="s">
        <v>1242</v>
      </c>
      <c r="BH1456" s="1" t="s">
        <v>2458</v>
      </c>
      <c r="BI1456" s="2" t="s">
        <v>10012</v>
      </c>
      <c r="BJ1456" s="1" t="s">
        <v>3408</v>
      </c>
      <c r="BK1456" s="2" t="s">
        <v>10013</v>
      </c>
      <c r="BL1456" s="1" t="s">
        <v>1877</v>
      </c>
      <c r="BM1456" s="2" t="s">
        <v>6984</v>
      </c>
    </row>
    <row r="1457" spans="1:71" ht="162" x14ac:dyDescent="0.45">
      <c r="A1457" s="5">
        <v>1456</v>
      </c>
      <c r="B1457" s="8" t="s">
        <v>1192</v>
      </c>
      <c r="C1457" s="6" t="s">
        <v>6851</v>
      </c>
      <c r="D1457" s="7" t="s">
        <v>9794</v>
      </c>
      <c r="E1457" s="1" t="s">
        <v>6985</v>
      </c>
      <c r="F1457" s="1" t="s">
        <v>49</v>
      </c>
      <c r="G1457" s="1"/>
      <c r="J1457" s="1" t="s">
        <v>9795</v>
      </c>
      <c r="K1457" s="2"/>
      <c r="L1457" s="3" t="s">
        <v>10014</v>
      </c>
      <c r="P1457" s="7" t="s">
        <v>1241</v>
      </c>
      <c r="Q1457" s="13"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1457" s="13"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1457" s="13"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T1457" s="13"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U1457" s="13"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AU1457" s="15"/>
      <c r="AV1457" s="1" t="s">
        <v>38</v>
      </c>
      <c r="BG1457" s="7" t="s">
        <v>1242</v>
      </c>
      <c r="BH1457" s="1" t="s">
        <v>1947</v>
      </c>
      <c r="BI1457" s="2" t="s">
        <v>6986</v>
      </c>
      <c r="BJ1457" s="1" t="s">
        <v>1996</v>
      </c>
      <c r="BK1457" s="2" t="s">
        <v>6987</v>
      </c>
      <c r="BL1457" s="1" t="s">
        <v>1877</v>
      </c>
      <c r="BM1457" s="2" t="s">
        <v>10015</v>
      </c>
    </row>
    <row r="1458" spans="1:71" ht="234" x14ac:dyDescent="0.45">
      <c r="A1458" s="5">
        <v>1457</v>
      </c>
      <c r="B1458" s="6" t="s">
        <v>1193</v>
      </c>
      <c r="C1458" s="6" t="s">
        <v>6851</v>
      </c>
      <c r="D1458" s="7" t="s">
        <v>9794</v>
      </c>
      <c r="E1458" s="1" t="s">
        <v>6988</v>
      </c>
      <c r="F1458" s="1" t="s">
        <v>1517</v>
      </c>
      <c r="G1458" s="1"/>
      <c r="J1458" s="1" t="s">
        <v>9795</v>
      </c>
      <c r="K1458" s="1" t="s">
        <v>6989</v>
      </c>
      <c r="L1458" s="2" t="s">
        <v>10016</v>
      </c>
      <c r="M1458" s="1" t="s">
        <v>12275</v>
      </c>
      <c r="P1458" s="7" t="s">
        <v>1241</v>
      </c>
      <c r="Q1458" s="13"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R1458" s="13"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S1458" s="13"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T1458" s="13"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AU1458" s="15"/>
      <c r="AV1458" s="1" t="s">
        <v>38</v>
      </c>
      <c r="BG1458" s="7" t="s">
        <v>1242</v>
      </c>
      <c r="BH1458" s="1" t="s">
        <v>1947</v>
      </c>
      <c r="BI1458" s="2" t="s">
        <v>6990</v>
      </c>
      <c r="BJ1458" s="1" t="s">
        <v>1875</v>
      </c>
      <c r="BK1458" s="2" t="s">
        <v>6991</v>
      </c>
    </row>
    <row r="1459" spans="1:71" ht="108" x14ac:dyDescent="0.45">
      <c r="A1459" s="5">
        <v>1458</v>
      </c>
      <c r="B1459" s="6" t="s">
        <v>1194</v>
      </c>
      <c r="C1459" s="6" t="s">
        <v>6851</v>
      </c>
      <c r="D1459" s="7" t="s">
        <v>9794</v>
      </c>
      <c r="E1459" s="1" t="s">
        <v>1194</v>
      </c>
      <c r="F1459" s="1"/>
      <c r="G1459" s="1"/>
      <c r="J1459" s="1" t="s">
        <v>9795</v>
      </c>
      <c r="K1459" s="2"/>
      <c r="L1459" s="3" t="s">
        <v>10017</v>
      </c>
      <c r="P1459" s="7" t="s">
        <v>1241</v>
      </c>
      <c r="AU1459" s="15"/>
      <c r="AV1459" s="1" t="s">
        <v>38</v>
      </c>
      <c r="BG1459" s="7" t="s">
        <v>1242</v>
      </c>
      <c r="BH1459" s="1" t="s">
        <v>1875</v>
      </c>
      <c r="BI1459" s="2" t="s">
        <v>6992</v>
      </c>
      <c r="BJ1459" s="1" t="s">
        <v>1877</v>
      </c>
      <c r="BK1459" s="2" t="s">
        <v>6993</v>
      </c>
    </row>
    <row r="1460" spans="1:71" ht="90" x14ac:dyDescent="0.45">
      <c r="A1460" s="5">
        <v>1459</v>
      </c>
      <c r="B1460" s="6" t="s">
        <v>1195</v>
      </c>
      <c r="C1460" s="6" t="s">
        <v>6851</v>
      </c>
      <c r="D1460" s="7" t="s">
        <v>9794</v>
      </c>
      <c r="E1460" s="1" t="s">
        <v>6994</v>
      </c>
      <c r="F1460" s="1" t="s">
        <v>6080</v>
      </c>
      <c r="G1460" s="1"/>
      <c r="J1460" s="1" t="s">
        <v>9795</v>
      </c>
      <c r="K1460" s="2" t="s">
        <v>10018</v>
      </c>
      <c r="L1460" s="2" t="s">
        <v>10019</v>
      </c>
      <c r="P1460" s="7" t="s">
        <v>1241</v>
      </c>
      <c r="AU1460" s="15"/>
      <c r="AV1460" s="1" t="s">
        <v>38</v>
      </c>
      <c r="BG1460" s="7" t="s">
        <v>1242</v>
      </c>
      <c r="BH1460" s="1" t="s">
        <v>1875</v>
      </c>
      <c r="BI1460" s="2" t="s">
        <v>6995</v>
      </c>
      <c r="BJ1460" s="1" t="s">
        <v>1877</v>
      </c>
      <c r="BK1460" s="2" t="s">
        <v>6996</v>
      </c>
    </row>
    <row r="1461" spans="1:71" ht="180" x14ac:dyDescent="0.45">
      <c r="A1461" s="5">
        <v>1460</v>
      </c>
      <c r="B1461" s="8" t="s">
        <v>1196</v>
      </c>
      <c r="C1461" s="6" t="s">
        <v>6851</v>
      </c>
      <c r="D1461" s="7" t="s">
        <v>9794</v>
      </c>
      <c r="E1461" s="1" t="s">
        <v>1196</v>
      </c>
      <c r="F1461" s="1"/>
      <c r="G1461" s="1"/>
      <c r="J1461" s="1" t="s">
        <v>9795</v>
      </c>
      <c r="L1461" s="2" t="s">
        <v>10020</v>
      </c>
      <c r="P1461" s="7" t="s">
        <v>1241</v>
      </c>
      <c r="AV1461" s="1" t="s">
        <v>38</v>
      </c>
      <c r="BG1461" s="7" t="s">
        <v>1242</v>
      </c>
      <c r="BH1461" s="1" t="s">
        <v>1872</v>
      </c>
      <c r="BI1461" s="1" t="s">
        <v>6997</v>
      </c>
      <c r="BJ1461" s="1" t="s">
        <v>1875</v>
      </c>
      <c r="BK1461" s="2" t="s">
        <v>6998</v>
      </c>
    </row>
    <row r="1462" spans="1:71" ht="198" x14ac:dyDescent="0.45">
      <c r="A1462" s="5">
        <v>1461</v>
      </c>
      <c r="B1462" s="6" t="s">
        <v>1197</v>
      </c>
      <c r="C1462" s="6" t="s">
        <v>6851</v>
      </c>
      <c r="D1462" s="7" t="s">
        <v>9794</v>
      </c>
      <c r="E1462" s="1" t="s">
        <v>1660</v>
      </c>
      <c r="F1462" s="1" t="s">
        <v>5365</v>
      </c>
      <c r="G1462" s="1"/>
      <c r="J1462" s="1" t="s">
        <v>9795</v>
      </c>
      <c r="L1462" s="3" t="s">
        <v>10032</v>
      </c>
      <c r="P1462" s="7" t="s">
        <v>1241</v>
      </c>
      <c r="Q1462" s="13" t="str">
        <f>INDEX($L:$L, MATCH("overlook", $B:$B, 0))</f>
        <v>&lt;span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v>
      </c>
      <c r="AU1462" s="15"/>
      <c r="AV1462" s="1" t="s">
        <v>38</v>
      </c>
      <c r="BG1462" s="7" t="s">
        <v>1242</v>
      </c>
      <c r="BH1462" s="1" t="s">
        <v>1877</v>
      </c>
      <c r="BI1462" s="2" t="s">
        <v>6999</v>
      </c>
    </row>
    <row r="1463" spans="1:71" ht="144" x14ac:dyDescent="0.45">
      <c r="A1463" s="5">
        <v>1462</v>
      </c>
      <c r="B1463" s="6" t="s">
        <v>1198</v>
      </c>
      <c r="C1463" s="6" t="s">
        <v>6851</v>
      </c>
      <c r="D1463" s="7" t="s">
        <v>9794</v>
      </c>
      <c r="E1463" s="1" t="s">
        <v>6589</v>
      </c>
      <c r="F1463" s="1" t="s">
        <v>7000</v>
      </c>
      <c r="G1463" s="1"/>
      <c r="J1463" s="1" t="s">
        <v>9795</v>
      </c>
      <c r="L1463" s="3" t="s">
        <v>10021</v>
      </c>
      <c r="P1463" s="7" t="s">
        <v>1241</v>
      </c>
      <c r="Q1463" s="13"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R1463" s="13"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S1463" s="13"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T1463" s="13"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AU1463" s="15"/>
      <c r="AV1463" s="1" t="s">
        <v>38</v>
      </c>
      <c r="BG1463" s="7" t="s">
        <v>1242</v>
      </c>
      <c r="BH1463" s="1" t="s">
        <v>1875</v>
      </c>
      <c r="BI1463" s="2" t="s">
        <v>7001</v>
      </c>
      <c r="BJ1463" s="1" t="s">
        <v>3497</v>
      </c>
      <c r="BK1463" s="2" t="s">
        <v>7002</v>
      </c>
    </row>
    <row r="1464" spans="1:71" ht="108" x14ac:dyDescent="0.45">
      <c r="A1464" s="5">
        <v>1463</v>
      </c>
      <c r="B1464" s="6" t="s">
        <v>1199</v>
      </c>
      <c r="C1464" s="6" t="s">
        <v>6851</v>
      </c>
      <c r="D1464" s="7" t="s">
        <v>9794</v>
      </c>
      <c r="E1464" s="6" t="s">
        <v>1199</v>
      </c>
      <c r="F1464" s="1"/>
      <c r="G1464" s="1"/>
      <c r="J1464" s="1" t="s">
        <v>9795</v>
      </c>
      <c r="L1464" s="2" t="s">
        <v>10022</v>
      </c>
      <c r="P1464" s="7" t="s">
        <v>1241</v>
      </c>
      <c r="AV1464" s="1" t="s">
        <v>38</v>
      </c>
      <c r="BG1464" s="7" t="s">
        <v>1242</v>
      </c>
      <c r="BH1464" s="1" t="s">
        <v>1947</v>
      </c>
      <c r="BI1464" s="1" t="s">
        <v>7003</v>
      </c>
      <c r="BJ1464" s="1" t="s">
        <v>1959</v>
      </c>
      <c r="BK1464" s="2" t="s">
        <v>7004</v>
      </c>
      <c r="BL1464" s="1" t="s">
        <v>1875</v>
      </c>
      <c r="BM1464" s="2" t="s">
        <v>7005</v>
      </c>
    </row>
    <row r="1465" spans="1:71" ht="216" x14ac:dyDescent="0.45">
      <c r="A1465" s="5">
        <v>1464</v>
      </c>
      <c r="B1465" s="8" t="s">
        <v>1200</v>
      </c>
      <c r="C1465" s="6" t="s">
        <v>6851</v>
      </c>
      <c r="D1465" s="7" t="s">
        <v>9794</v>
      </c>
      <c r="E1465" s="1" t="s">
        <v>49</v>
      </c>
      <c r="F1465" s="1" t="s">
        <v>1457</v>
      </c>
      <c r="G1465" s="1"/>
      <c r="J1465" s="1" t="s">
        <v>9795</v>
      </c>
      <c r="L1465" s="3" t="s">
        <v>10023</v>
      </c>
      <c r="P1465" s="7" t="s">
        <v>1241</v>
      </c>
      <c r="Q1465" s="13"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1465" s="13"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S1465" s="13"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T1465" s="13"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AU1465" s="15"/>
      <c r="AV1465" s="1" t="s">
        <v>38</v>
      </c>
      <c r="BG1465" s="7" t="s">
        <v>1242</v>
      </c>
      <c r="BH1465" s="1" t="s">
        <v>1947</v>
      </c>
      <c r="BI1465" s="2" t="s">
        <v>7006</v>
      </c>
      <c r="BJ1465" s="1" t="s">
        <v>1959</v>
      </c>
      <c r="BK1465" s="1" t="s">
        <v>7007</v>
      </c>
      <c r="BL1465" s="1" t="s">
        <v>1875</v>
      </c>
      <c r="BM1465" s="2" t="s">
        <v>7008</v>
      </c>
    </row>
    <row r="1466" spans="1:71" ht="144" x14ac:dyDescent="0.45">
      <c r="A1466" s="5">
        <v>1465</v>
      </c>
      <c r="B1466" s="8" t="s">
        <v>1201</v>
      </c>
      <c r="C1466" s="6" t="s">
        <v>6851</v>
      </c>
      <c r="D1466" s="7" t="s">
        <v>9794</v>
      </c>
      <c r="E1466" s="1" t="s">
        <v>7009</v>
      </c>
      <c r="F1466" s="1" t="s">
        <v>1695</v>
      </c>
      <c r="G1466" s="1"/>
      <c r="J1466" s="1" t="s">
        <v>9795</v>
      </c>
      <c r="L1466" s="2" t="s">
        <v>10024</v>
      </c>
      <c r="M1466" s="1" t="s">
        <v>12189</v>
      </c>
      <c r="P1466" s="7" t="s">
        <v>1241</v>
      </c>
      <c r="Q1466"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1466"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1466" s="13"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1466" s="13"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1466"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466"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1466" s="13"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1466"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1466" s="13"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466"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1466" s="15"/>
      <c r="AV1466" s="1" t="s">
        <v>38</v>
      </c>
      <c r="BG1466" s="7" t="s">
        <v>1242</v>
      </c>
      <c r="BH1466" s="1" t="s">
        <v>1947</v>
      </c>
      <c r="BI1466" s="2" t="s">
        <v>7010</v>
      </c>
      <c r="BJ1466" s="1" t="s">
        <v>1877</v>
      </c>
      <c r="BK1466" s="2" t="s">
        <v>7011</v>
      </c>
    </row>
    <row r="1467" spans="1:71" ht="216" x14ac:dyDescent="0.45">
      <c r="A1467" s="5">
        <v>1466</v>
      </c>
      <c r="B1467" s="8" t="s">
        <v>1202</v>
      </c>
      <c r="C1467" s="6" t="s">
        <v>6851</v>
      </c>
      <c r="D1467" s="7" t="s">
        <v>9794</v>
      </c>
      <c r="E1467" s="1" t="s">
        <v>1202</v>
      </c>
      <c r="F1467" s="1"/>
      <c r="G1467" s="1"/>
      <c r="J1467" s="1" t="s">
        <v>9795</v>
      </c>
      <c r="L1467" s="3" t="s">
        <v>10025</v>
      </c>
      <c r="P1467" s="7" t="s">
        <v>1241</v>
      </c>
      <c r="AV1467" s="1" t="s">
        <v>38</v>
      </c>
      <c r="BG1467" s="7" t="s">
        <v>1242</v>
      </c>
      <c r="BH1467" s="1" t="s">
        <v>2458</v>
      </c>
      <c r="BI1467" s="1" t="s">
        <v>7012</v>
      </c>
      <c r="BJ1467" s="1" t="s">
        <v>1947</v>
      </c>
      <c r="BK1467" s="1" t="s">
        <v>7013</v>
      </c>
      <c r="BL1467" s="1" t="s">
        <v>1959</v>
      </c>
      <c r="BM1467" s="2" t="s">
        <v>7014</v>
      </c>
      <c r="BN1467" s="1" t="s">
        <v>2114</v>
      </c>
      <c r="BO1467" s="1" t="s">
        <v>7015</v>
      </c>
      <c r="BP1467" s="1" t="s">
        <v>1875</v>
      </c>
      <c r="BQ1467" s="2" t="s">
        <v>7016</v>
      </c>
      <c r="BR1467" s="1" t="s">
        <v>1877</v>
      </c>
      <c r="BS1467" s="2" t="s">
        <v>7017</v>
      </c>
    </row>
    <row r="1468" spans="1:71" ht="180" x14ac:dyDescent="0.45">
      <c r="A1468" s="5">
        <v>1467</v>
      </c>
      <c r="B1468" s="6" t="s">
        <v>1203</v>
      </c>
      <c r="C1468" s="6" t="s">
        <v>6851</v>
      </c>
      <c r="D1468" s="7" t="s">
        <v>9794</v>
      </c>
      <c r="E1468" s="1" t="s">
        <v>1203</v>
      </c>
      <c r="F1468" s="1"/>
      <c r="G1468" s="1"/>
      <c r="J1468" s="1" t="s">
        <v>9795</v>
      </c>
      <c r="K1468" s="1" t="s">
        <v>10026</v>
      </c>
      <c r="L1468" s="2" t="s">
        <v>10027</v>
      </c>
      <c r="P1468" s="7" t="s">
        <v>1241</v>
      </c>
      <c r="AV1468" s="1" t="s">
        <v>38</v>
      </c>
      <c r="BG1468" s="7" t="s">
        <v>1242</v>
      </c>
      <c r="BH1468" s="1" t="s">
        <v>1947</v>
      </c>
      <c r="BI1468" s="1" t="s">
        <v>7018</v>
      </c>
      <c r="BJ1468" s="1" t="s">
        <v>2036</v>
      </c>
      <c r="BK1468" s="1" t="s">
        <v>7019</v>
      </c>
      <c r="BL1468" s="1" t="s">
        <v>2114</v>
      </c>
      <c r="BM1468" s="1" t="s">
        <v>7020</v>
      </c>
      <c r="BN1468" s="1" t="s">
        <v>1875</v>
      </c>
      <c r="BO1468" s="2" t="s">
        <v>7021</v>
      </c>
      <c r="BP1468" s="1" t="s">
        <v>1877</v>
      </c>
      <c r="BQ1468" s="2" t="s">
        <v>7022</v>
      </c>
    </row>
    <row r="1469" spans="1:71" ht="252" x14ac:dyDescent="0.45">
      <c r="A1469" s="5">
        <v>1468</v>
      </c>
      <c r="B1469" s="6" t="s">
        <v>1204</v>
      </c>
      <c r="C1469" s="6" t="s">
        <v>6851</v>
      </c>
      <c r="D1469" s="7" t="s">
        <v>9794</v>
      </c>
      <c r="E1469" s="1" t="s">
        <v>1612</v>
      </c>
      <c r="F1469" s="1" t="s">
        <v>7023</v>
      </c>
      <c r="G1469" s="1"/>
      <c r="J1469" s="1" t="s">
        <v>9795</v>
      </c>
      <c r="K1469" s="2" t="s">
        <v>10028</v>
      </c>
      <c r="L1469" s="2" t="s">
        <v>10029</v>
      </c>
      <c r="P1469" s="7" t="s">
        <v>1241</v>
      </c>
      <c r="AU1469" s="15"/>
      <c r="AV1469" s="1" t="s">
        <v>38</v>
      </c>
      <c r="BG1469" s="7" t="s">
        <v>1242</v>
      </c>
      <c r="BH1469" s="1" t="s">
        <v>1872</v>
      </c>
      <c r="BI1469" s="2" t="s">
        <v>10030</v>
      </c>
      <c r="BJ1469" s="1" t="s">
        <v>1875</v>
      </c>
      <c r="BK1469" s="2" t="s">
        <v>7024</v>
      </c>
    </row>
    <row r="1470" spans="1:71" ht="180" x14ac:dyDescent="0.45">
      <c r="A1470" s="5">
        <v>1469</v>
      </c>
      <c r="B1470" s="6" t="s">
        <v>1205</v>
      </c>
      <c r="C1470" s="6" t="s">
        <v>6851</v>
      </c>
      <c r="D1470" s="7" t="s">
        <v>9794</v>
      </c>
      <c r="E1470" s="1" t="s">
        <v>1730</v>
      </c>
      <c r="F1470" s="1" t="s">
        <v>4142</v>
      </c>
      <c r="G1470" s="1"/>
      <c r="J1470" s="1" t="s">
        <v>9795</v>
      </c>
      <c r="L1470" s="3" t="s">
        <v>10506</v>
      </c>
      <c r="P1470" s="7" t="s">
        <v>1241</v>
      </c>
      <c r="AU1470" s="15"/>
      <c r="AV1470" s="1" t="s">
        <v>38</v>
      </c>
      <c r="BG1470" s="7" t="s">
        <v>1242</v>
      </c>
      <c r="BH1470" s="1" t="s">
        <v>2034</v>
      </c>
      <c r="BI1470" s="2" t="s">
        <v>7025</v>
      </c>
      <c r="BJ1470" s="1" t="s">
        <v>2036</v>
      </c>
      <c r="BK1470" s="2" t="s">
        <v>7026</v>
      </c>
      <c r="BL1470" s="1" t="s">
        <v>1959</v>
      </c>
      <c r="BM1470" s="2" t="s">
        <v>7027</v>
      </c>
      <c r="BN1470" s="1" t="s">
        <v>1875</v>
      </c>
      <c r="BO1470" s="2" t="s">
        <v>7028</v>
      </c>
    </row>
    <row r="1471" spans="1:71" ht="198" x14ac:dyDescent="0.45">
      <c r="A1471" s="5">
        <v>1470</v>
      </c>
      <c r="B1471" s="6" t="s">
        <v>1206</v>
      </c>
      <c r="C1471" s="6" t="s">
        <v>6851</v>
      </c>
      <c r="D1471" s="7" t="s">
        <v>9794</v>
      </c>
      <c r="E1471" s="1" t="s">
        <v>7029</v>
      </c>
      <c r="F1471" s="1" t="s">
        <v>7030</v>
      </c>
      <c r="G1471" s="1" t="s">
        <v>1584</v>
      </c>
      <c r="J1471" s="1" t="s">
        <v>9795</v>
      </c>
      <c r="L1471" s="3" t="s">
        <v>10031</v>
      </c>
      <c r="P1471" s="7" t="s">
        <v>1241</v>
      </c>
      <c r="AU1471" s="15"/>
      <c r="AV1471" s="1" t="s">
        <v>38</v>
      </c>
      <c r="BG1471" s="7" t="s">
        <v>1242</v>
      </c>
      <c r="BH1471" s="1" t="s">
        <v>1947</v>
      </c>
      <c r="BI1471" s="2" t="s">
        <v>7031</v>
      </c>
      <c r="BJ1471" s="1" t="s">
        <v>1875</v>
      </c>
      <c r="BK1471" s="2" t="s">
        <v>7032</v>
      </c>
      <c r="BL1471" s="1" t="s">
        <v>1877</v>
      </c>
      <c r="BM1471" s="2" t="s">
        <v>7033</v>
      </c>
    </row>
    <row r="1472" spans="1:71" ht="108" x14ac:dyDescent="0.45">
      <c r="A1472" s="5">
        <v>1471</v>
      </c>
      <c r="B1472" s="6" t="s">
        <v>1207</v>
      </c>
      <c r="C1472" s="6" t="s">
        <v>6851</v>
      </c>
      <c r="D1472" s="7" t="s">
        <v>9794</v>
      </c>
      <c r="E1472" s="1" t="s">
        <v>1207</v>
      </c>
      <c r="F1472" s="1"/>
      <c r="G1472" s="1"/>
      <c r="J1472" s="1" t="s">
        <v>9795</v>
      </c>
      <c r="L1472" s="3" t="s">
        <v>10033</v>
      </c>
      <c r="P1472" s="7" t="s">
        <v>1241</v>
      </c>
      <c r="AV1472" s="1" t="s">
        <v>38</v>
      </c>
      <c r="BG1472" s="7" t="s">
        <v>1242</v>
      </c>
      <c r="BH1472" s="1" t="s">
        <v>1872</v>
      </c>
      <c r="BI1472" s="1" t="s">
        <v>7034</v>
      </c>
      <c r="BJ1472" s="1" t="s">
        <v>1875</v>
      </c>
      <c r="BK1472" s="2" t="s">
        <v>7035</v>
      </c>
    </row>
    <row r="1473" spans="1:67" ht="72" x14ac:dyDescent="0.45">
      <c r="A1473" s="5">
        <v>1472</v>
      </c>
      <c r="B1473" s="6" t="s">
        <v>1208</v>
      </c>
      <c r="C1473" s="6" t="s">
        <v>6851</v>
      </c>
      <c r="D1473" s="7" t="s">
        <v>9794</v>
      </c>
      <c r="E1473" s="6" t="s">
        <v>7036</v>
      </c>
      <c r="F1473" s="1" t="s">
        <v>5327</v>
      </c>
      <c r="G1473" s="1"/>
      <c r="J1473" s="1" t="s">
        <v>9795</v>
      </c>
      <c r="L1473" s="2" t="s">
        <v>10034</v>
      </c>
      <c r="P1473" s="7" t="s">
        <v>1241</v>
      </c>
      <c r="AV1473" s="1" t="s">
        <v>38</v>
      </c>
      <c r="BG1473" s="7" t="s">
        <v>1242</v>
      </c>
      <c r="BH1473" s="1" t="s">
        <v>1872</v>
      </c>
      <c r="BI1473" s="1" t="s">
        <v>7037</v>
      </c>
      <c r="BJ1473" s="1" t="s">
        <v>1875</v>
      </c>
      <c r="BK1473" s="2" t="s">
        <v>7038</v>
      </c>
    </row>
    <row r="1474" spans="1:67" ht="162" x14ac:dyDescent="0.45">
      <c r="A1474" s="5">
        <v>1473</v>
      </c>
      <c r="B1474" s="8" t="s">
        <v>1209</v>
      </c>
      <c r="C1474" s="6" t="s">
        <v>6851</v>
      </c>
      <c r="D1474" s="7" t="s">
        <v>9794</v>
      </c>
      <c r="E1474" s="1" t="s">
        <v>1209</v>
      </c>
      <c r="F1474" s="1"/>
      <c r="G1474" s="1"/>
      <c r="J1474" s="1" t="s">
        <v>9795</v>
      </c>
      <c r="K1474" s="1" t="s">
        <v>7039</v>
      </c>
      <c r="L1474" s="2" t="s">
        <v>10035</v>
      </c>
      <c r="P1474" s="7" t="s">
        <v>1241</v>
      </c>
      <c r="Q1474" s="13" t="str">
        <f>INDEX($L:$L, MATCH("avoid", $B:$B, 0))</f>
        <v>&lt;span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v>
      </c>
      <c r="AU1474" s="15"/>
      <c r="AV1474" s="1" t="s">
        <v>38</v>
      </c>
      <c r="BG1474" s="7" t="s">
        <v>1242</v>
      </c>
      <c r="BH1474" s="1" t="s">
        <v>1947</v>
      </c>
      <c r="BI1474" s="2" t="s">
        <v>7040</v>
      </c>
      <c r="BJ1474" s="1" t="s">
        <v>1877</v>
      </c>
      <c r="BK1474" s="2" t="s">
        <v>7041</v>
      </c>
      <c r="BL1474" s="1" t="s">
        <v>3497</v>
      </c>
      <c r="BM1474" s="2" t="s">
        <v>10036</v>
      </c>
    </row>
    <row r="1475" spans="1:67" ht="126" x14ac:dyDescent="0.45">
      <c r="A1475" s="5" t="s">
        <v>7042</v>
      </c>
      <c r="B1475" s="6" t="s">
        <v>1210</v>
      </c>
      <c r="C1475" s="6" t="s">
        <v>6851</v>
      </c>
      <c r="D1475" s="7" t="s">
        <v>9794</v>
      </c>
      <c r="E1475" s="1" t="s">
        <v>1428</v>
      </c>
      <c r="F1475" s="1" t="s">
        <v>7043</v>
      </c>
      <c r="G1475" s="1" t="s">
        <v>1584</v>
      </c>
      <c r="J1475" s="1" t="s">
        <v>9795</v>
      </c>
      <c r="L1475" s="2" t="s">
        <v>10037</v>
      </c>
      <c r="P1475" s="7" t="s">
        <v>1241</v>
      </c>
      <c r="AU1475" s="15"/>
      <c r="AV1475" s="1" t="s">
        <v>38</v>
      </c>
      <c r="BG1475" s="7" t="s">
        <v>1242</v>
      </c>
      <c r="BH1475" s="1" t="s">
        <v>1947</v>
      </c>
      <c r="BI1475" s="2" t="s">
        <v>7044</v>
      </c>
      <c r="BJ1475" s="1" t="s">
        <v>2036</v>
      </c>
      <c r="BK1475" s="2" t="s">
        <v>7045</v>
      </c>
      <c r="BL1475" s="1" t="s">
        <v>1875</v>
      </c>
      <c r="BM1475" s="2" t="s">
        <v>7046</v>
      </c>
    </row>
    <row r="1476" spans="1:67" ht="126" x14ac:dyDescent="0.45">
      <c r="A1476" s="5">
        <v>1475</v>
      </c>
      <c r="B1476" s="6" t="s">
        <v>1211</v>
      </c>
      <c r="C1476" s="6" t="s">
        <v>6851</v>
      </c>
      <c r="D1476" s="7" t="s">
        <v>9794</v>
      </c>
      <c r="E1476" s="1" t="s">
        <v>1211</v>
      </c>
      <c r="F1476" s="1"/>
      <c r="G1476" s="1"/>
      <c r="J1476" s="1" t="s">
        <v>9795</v>
      </c>
      <c r="L1476" s="2" t="s">
        <v>10038</v>
      </c>
      <c r="P1476" s="7" t="s">
        <v>1241</v>
      </c>
      <c r="AU1476" s="15"/>
      <c r="AV1476" s="1" t="s">
        <v>38</v>
      </c>
      <c r="BG1476" s="7" t="s">
        <v>1242</v>
      </c>
      <c r="BH1476" s="1" t="s">
        <v>1959</v>
      </c>
      <c r="BI1476" s="2" t="s">
        <v>7047</v>
      </c>
      <c r="BJ1476" s="1" t="s">
        <v>1875</v>
      </c>
      <c r="BK1476" s="2" t="s">
        <v>7048</v>
      </c>
      <c r="BL1476" s="1" t="s">
        <v>1877</v>
      </c>
      <c r="BM1476" s="2" t="s">
        <v>7049</v>
      </c>
    </row>
    <row r="1477" spans="1:67" ht="180" x14ac:dyDescent="0.45">
      <c r="A1477" s="5">
        <v>1476</v>
      </c>
      <c r="B1477" s="6" t="s">
        <v>1212</v>
      </c>
      <c r="C1477" s="6" t="s">
        <v>6851</v>
      </c>
      <c r="D1477" s="7" t="s">
        <v>9794</v>
      </c>
      <c r="E1477" s="1" t="s">
        <v>1678</v>
      </c>
      <c r="F1477" s="1" t="s">
        <v>69</v>
      </c>
      <c r="G1477" s="1"/>
      <c r="J1477" s="1" t="s">
        <v>9795</v>
      </c>
      <c r="L1477" s="2" t="s">
        <v>10039</v>
      </c>
      <c r="P1477" s="7" t="s">
        <v>1241</v>
      </c>
      <c r="Q1477" s="13" t="str">
        <f>INDEX($L:$L, MATCH("mark", $B:$B, 0))</f>
        <v>&lt;span class="w"&gt;&lt;b&gt;【34.mark：～に印を付ける】&lt;/b&gt;&lt;/span&gt;
&lt;span class="ml"&gt;古英語mearcian / merciga（印を付ける）にさかのぼる語。
&lt;span class="spacer"&gt;&lt;/span&gt;古英語から意味はほとんど変わっていない。&lt;/span&gt;</v>
      </c>
      <c r="AU1477" s="15"/>
      <c r="AV1477" s="1" t="s">
        <v>38</v>
      </c>
      <c r="BG1477" s="7" t="s">
        <v>1242</v>
      </c>
      <c r="BH1477" s="1" t="s">
        <v>1872</v>
      </c>
      <c r="BI1477" s="2" t="s">
        <v>7050</v>
      </c>
      <c r="BJ1477" s="1" t="s">
        <v>1875</v>
      </c>
      <c r="BK1477" s="1" t="s">
        <v>7051</v>
      </c>
      <c r="BL1477" s="1" t="s">
        <v>1877</v>
      </c>
      <c r="BM1477" s="2" t="s">
        <v>7052</v>
      </c>
    </row>
    <row r="1478" spans="1:67" ht="144" x14ac:dyDescent="0.45">
      <c r="A1478" s="5">
        <v>1477</v>
      </c>
      <c r="B1478" s="8" t="s">
        <v>1213</v>
      </c>
      <c r="C1478" s="6" t="s">
        <v>6851</v>
      </c>
      <c r="D1478" s="7" t="s">
        <v>9794</v>
      </c>
      <c r="E1478" s="1" t="s">
        <v>1251</v>
      </c>
      <c r="F1478" s="1" t="s">
        <v>7053</v>
      </c>
      <c r="G1478" s="1"/>
      <c r="J1478" s="1" t="s">
        <v>9795</v>
      </c>
      <c r="L1478" s="3" t="s">
        <v>10040</v>
      </c>
      <c r="M1478" s="1" t="s">
        <v>12206</v>
      </c>
      <c r="P1478" s="7" t="s">
        <v>1241</v>
      </c>
      <c r="Q1478" s="13"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1478" s="13"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1478" s="13"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1478" s="13"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U1478" s="13"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V1478" s="13"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AU1478" s="15"/>
      <c r="AV1478" s="1" t="s">
        <v>38</v>
      </c>
      <c r="BG1478" s="7" t="s">
        <v>1242</v>
      </c>
      <c r="BH1478" s="1" t="s">
        <v>1947</v>
      </c>
      <c r="BI1478" s="2" t="s">
        <v>7054</v>
      </c>
      <c r="BJ1478" s="1" t="s">
        <v>1959</v>
      </c>
      <c r="BK1478" s="2" t="s">
        <v>7055</v>
      </c>
      <c r="BL1478" s="1" t="s">
        <v>1875</v>
      </c>
      <c r="BM1478" s="2" t="s">
        <v>7056</v>
      </c>
      <c r="BN1478" s="1" t="s">
        <v>1877</v>
      </c>
      <c r="BO1478" s="2" t="s">
        <v>7057</v>
      </c>
    </row>
    <row r="1479" spans="1:67" ht="162" x14ac:dyDescent="0.45">
      <c r="A1479" s="5">
        <v>1478</v>
      </c>
      <c r="B1479" s="8" t="s">
        <v>1214</v>
      </c>
      <c r="C1479" s="6" t="s">
        <v>6851</v>
      </c>
      <c r="D1479" s="7" t="s">
        <v>9794</v>
      </c>
      <c r="E1479" s="1" t="s">
        <v>103</v>
      </c>
      <c r="F1479" s="1" t="s">
        <v>1946</v>
      </c>
      <c r="G1479" s="1"/>
      <c r="J1479" s="1" t="s">
        <v>9795</v>
      </c>
      <c r="L1479" s="2" t="s">
        <v>10041</v>
      </c>
      <c r="M1479" s="1" t="s">
        <v>12208</v>
      </c>
      <c r="P1479" s="7" t="s">
        <v>1241</v>
      </c>
      <c r="Q1479" s="13"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479" s="13"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S1479" s="13"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T1479"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U1479" s="13"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1479" s="13"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U1479" s="15"/>
      <c r="AV1479" s="1" t="s">
        <v>38</v>
      </c>
      <c r="BG1479" s="7" t="s">
        <v>1242</v>
      </c>
      <c r="BH1479" s="1" t="s">
        <v>1947</v>
      </c>
      <c r="BI1479" s="2" t="s">
        <v>10042</v>
      </c>
      <c r="BJ1479" s="1" t="s">
        <v>1959</v>
      </c>
      <c r="BK1479" s="1" t="s">
        <v>7058</v>
      </c>
      <c r="BL1479" s="1" t="s">
        <v>2114</v>
      </c>
      <c r="BM1479" s="1" t="s">
        <v>7059</v>
      </c>
      <c r="BN1479" s="1" t="s">
        <v>1875</v>
      </c>
      <c r="BO1479" s="2" t="s">
        <v>7060</v>
      </c>
    </row>
    <row r="1480" spans="1:67" ht="126" x14ac:dyDescent="0.45">
      <c r="A1480" s="5">
        <v>1479</v>
      </c>
      <c r="B1480" s="6" t="s">
        <v>1215</v>
      </c>
      <c r="C1480" s="6" t="s">
        <v>6852</v>
      </c>
      <c r="D1480" s="7" t="s">
        <v>9794</v>
      </c>
      <c r="E1480" s="1" t="s">
        <v>7061</v>
      </c>
      <c r="F1480" s="1" t="s">
        <v>5124</v>
      </c>
      <c r="G1480" s="1"/>
      <c r="J1480" s="1" t="s">
        <v>9795</v>
      </c>
      <c r="L1480" s="2" t="s">
        <v>10043</v>
      </c>
      <c r="P1480" s="7" t="s">
        <v>1241</v>
      </c>
      <c r="Q1480" s="13"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AU1480" s="15"/>
      <c r="AV1480" s="1" t="s">
        <v>38</v>
      </c>
      <c r="BG1480" s="7" t="s">
        <v>1242</v>
      </c>
      <c r="BH1480" s="1" t="s">
        <v>1947</v>
      </c>
      <c r="BI1480" s="2" t="s">
        <v>7062</v>
      </c>
      <c r="BJ1480" s="1" t="s">
        <v>1996</v>
      </c>
      <c r="BK1480" s="2" t="s">
        <v>7063</v>
      </c>
      <c r="BL1480" s="1" t="s">
        <v>1877</v>
      </c>
      <c r="BM1480" s="2" t="s">
        <v>7064</v>
      </c>
    </row>
    <row r="1481" spans="1:67" ht="216" x14ac:dyDescent="0.45">
      <c r="A1481" s="5">
        <v>1480</v>
      </c>
      <c r="B1481" s="6" t="s">
        <v>1216</v>
      </c>
      <c r="C1481" s="6" t="s">
        <v>6852</v>
      </c>
      <c r="D1481" s="7" t="s">
        <v>9794</v>
      </c>
      <c r="E1481" s="1" t="s">
        <v>1216</v>
      </c>
      <c r="F1481" s="1"/>
      <c r="G1481" s="1"/>
      <c r="J1481" s="1" t="s">
        <v>9795</v>
      </c>
      <c r="K1481" s="1" t="s">
        <v>10044</v>
      </c>
      <c r="L1481" s="2" t="s">
        <v>10045</v>
      </c>
      <c r="P1481" s="7" t="s">
        <v>1241</v>
      </c>
      <c r="Q1481" s="13" t="str">
        <f>INDEX($L:$L, MATCH("thrill", $B:$B, 0))</f>
        <v>&lt;span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v>
      </c>
      <c r="AV1481" s="1" t="s">
        <v>38</v>
      </c>
      <c r="BG1481" s="7" t="s">
        <v>1242</v>
      </c>
      <c r="BH1481" s="1" t="s">
        <v>1872</v>
      </c>
      <c r="BI1481" s="1" t="s">
        <v>7065</v>
      </c>
      <c r="BJ1481" s="1" t="s">
        <v>1875</v>
      </c>
      <c r="BK1481" s="2" t="s">
        <v>10046</v>
      </c>
    </row>
    <row r="1482" spans="1:67" ht="72" x14ac:dyDescent="0.45">
      <c r="A1482" s="5">
        <v>1481</v>
      </c>
      <c r="B1482" s="6" t="s">
        <v>1217</v>
      </c>
      <c r="C1482" s="6" t="s">
        <v>6852</v>
      </c>
      <c r="D1482" s="7" t="s">
        <v>9794</v>
      </c>
      <c r="E1482" s="1" t="s">
        <v>1217</v>
      </c>
      <c r="F1482" s="1"/>
      <c r="G1482" s="1"/>
      <c r="J1482" s="1" t="s">
        <v>9795</v>
      </c>
      <c r="L1482" s="2" t="s">
        <v>10047</v>
      </c>
      <c r="P1482" s="7" t="s">
        <v>1241</v>
      </c>
      <c r="AV1482" s="1" t="s">
        <v>38</v>
      </c>
      <c r="BG1482" s="7" t="s">
        <v>1242</v>
      </c>
      <c r="BH1482" s="1" t="s">
        <v>1872</v>
      </c>
      <c r="BI1482" s="1" t="s">
        <v>7066</v>
      </c>
      <c r="BJ1482" s="1" t="s">
        <v>1875</v>
      </c>
      <c r="BK1482" s="2" t="s">
        <v>7067</v>
      </c>
      <c r="BL1482" s="1" t="s">
        <v>1877</v>
      </c>
      <c r="BM1482" s="1" t="s">
        <v>7068</v>
      </c>
    </row>
    <row r="1483" spans="1:67" ht="162" x14ac:dyDescent="0.45">
      <c r="A1483" s="5">
        <v>1482</v>
      </c>
      <c r="B1483" s="6" t="s">
        <v>1218</v>
      </c>
      <c r="C1483" s="6" t="s">
        <v>6852</v>
      </c>
      <c r="D1483" s="7" t="s">
        <v>9794</v>
      </c>
      <c r="E1483" s="1" t="s">
        <v>1218</v>
      </c>
      <c r="F1483" s="1"/>
      <c r="G1483" s="1"/>
      <c r="J1483" s="1" t="s">
        <v>9795</v>
      </c>
      <c r="L1483" s="2" t="s">
        <v>10048</v>
      </c>
      <c r="P1483" s="7" t="s">
        <v>1241</v>
      </c>
      <c r="AV1483" s="1" t="s">
        <v>38</v>
      </c>
      <c r="BG1483" s="7" t="s">
        <v>1242</v>
      </c>
      <c r="BH1483" s="1" t="s">
        <v>1976</v>
      </c>
      <c r="BI1483" s="2" t="s">
        <v>10049</v>
      </c>
      <c r="BJ1483" s="1" t="s">
        <v>1947</v>
      </c>
      <c r="BK1483" s="1" t="s">
        <v>7069</v>
      </c>
      <c r="BL1483" s="1" t="s">
        <v>1996</v>
      </c>
      <c r="BM1483" s="2" t="s">
        <v>7070</v>
      </c>
      <c r="BN1483" s="1" t="s">
        <v>1877</v>
      </c>
      <c r="BO1483" s="2" t="s">
        <v>7071</v>
      </c>
    </row>
    <row r="1484" spans="1:67" ht="144" x14ac:dyDescent="0.45">
      <c r="A1484" s="5">
        <v>1483</v>
      </c>
      <c r="B1484" s="6" t="s">
        <v>1219</v>
      </c>
      <c r="C1484" s="6" t="s">
        <v>6852</v>
      </c>
      <c r="D1484" s="7" t="s">
        <v>9794</v>
      </c>
      <c r="E1484" s="1" t="s">
        <v>1219</v>
      </c>
      <c r="F1484" s="1"/>
      <c r="G1484" s="1"/>
      <c r="J1484" s="1" t="s">
        <v>9795</v>
      </c>
      <c r="K1484" s="2" t="s">
        <v>10050</v>
      </c>
      <c r="L1484" s="2" t="s">
        <v>10051</v>
      </c>
      <c r="P1484" s="7" t="s">
        <v>1241</v>
      </c>
      <c r="AV1484" s="1" t="s">
        <v>38</v>
      </c>
      <c r="BG1484" s="7" t="s">
        <v>1242</v>
      </c>
      <c r="BH1484" s="1" t="s">
        <v>1872</v>
      </c>
      <c r="BI1484" s="1" t="s">
        <v>7072</v>
      </c>
      <c r="BJ1484" s="1" t="s">
        <v>1875</v>
      </c>
      <c r="BK1484" s="2" t="s">
        <v>7073</v>
      </c>
      <c r="BL1484" s="1" t="s">
        <v>1877</v>
      </c>
      <c r="BM1484" s="2" t="s">
        <v>7074</v>
      </c>
    </row>
    <row r="1485" spans="1:67" ht="126" x14ac:dyDescent="0.45">
      <c r="A1485" s="5">
        <v>1484</v>
      </c>
      <c r="B1485" s="6" t="s">
        <v>1220</v>
      </c>
      <c r="C1485" s="6" t="s">
        <v>6852</v>
      </c>
      <c r="D1485" s="7" t="s">
        <v>9794</v>
      </c>
      <c r="E1485" s="1" t="s">
        <v>27</v>
      </c>
      <c r="F1485" s="1" t="s">
        <v>321</v>
      </c>
      <c r="G1485" s="1"/>
      <c r="J1485" s="1" t="s">
        <v>9795</v>
      </c>
      <c r="L1485" s="2" t="s">
        <v>10052</v>
      </c>
      <c r="M1485" s="1" t="s">
        <v>12177</v>
      </c>
      <c r="P1485" s="7" t="s">
        <v>1241</v>
      </c>
      <c r="Q1485" s="13"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1485" s="13"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1485" s="13"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T1485" s="13"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U1485" s="13"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AU1485" s="15"/>
      <c r="AV1485" s="1" t="s">
        <v>38</v>
      </c>
      <c r="BG1485" s="7" t="s">
        <v>1242</v>
      </c>
      <c r="BH1485" s="1" t="s">
        <v>2036</v>
      </c>
      <c r="BI1485" s="2" t="s">
        <v>7075</v>
      </c>
      <c r="BJ1485" s="1" t="s">
        <v>1959</v>
      </c>
      <c r="BK1485" s="2" t="s">
        <v>7076</v>
      </c>
      <c r="BL1485" s="1" t="s">
        <v>1875</v>
      </c>
      <c r="BM1485" s="2" t="s">
        <v>7077</v>
      </c>
    </row>
    <row r="1486" spans="1:67" ht="90" x14ac:dyDescent="0.45">
      <c r="A1486" s="5">
        <v>1485</v>
      </c>
      <c r="B1486" s="6" t="s">
        <v>1221</v>
      </c>
      <c r="C1486" s="6" t="s">
        <v>6852</v>
      </c>
      <c r="D1486" s="7" t="s">
        <v>9794</v>
      </c>
      <c r="E1486" s="1" t="s">
        <v>1221</v>
      </c>
      <c r="F1486" s="1"/>
      <c r="G1486" s="1"/>
      <c r="J1486" s="1" t="s">
        <v>9795</v>
      </c>
      <c r="L1486" s="2" t="s">
        <v>10053</v>
      </c>
      <c r="P1486" s="7" t="s">
        <v>1241</v>
      </c>
      <c r="AV1486" s="1" t="s">
        <v>38</v>
      </c>
      <c r="BG1486" s="7" t="s">
        <v>1242</v>
      </c>
      <c r="BH1486" s="1" t="s">
        <v>1872</v>
      </c>
      <c r="BI1486" s="1" t="s">
        <v>7078</v>
      </c>
      <c r="BJ1486" s="1" t="s">
        <v>1875</v>
      </c>
      <c r="BK1486" s="2" t="s">
        <v>7079</v>
      </c>
    </row>
    <row r="1487" spans="1:67" ht="162" x14ac:dyDescent="0.45">
      <c r="A1487" s="5">
        <v>1486</v>
      </c>
      <c r="B1487" s="6" t="s">
        <v>1222</v>
      </c>
      <c r="C1487" s="6" t="s">
        <v>6852</v>
      </c>
      <c r="D1487" s="7" t="s">
        <v>9794</v>
      </c>
      <c r="E1487" s="1" t="s">
        <v>1222</v>
      </c>
      <c r="F1487" s="1"/>
      <c r="G1487" s="1"/>
      <c r="J1487" s="1" t="s">
        <v>9795</v>
      </c>
      <c r="K1487" s="2"/>
      <c r="L1487" s="3" t="s">
        <v>10054</v>
      </c>
      <c r="P1487" s="7" t="s">
        <v>1241</v>
      </c>
      <c r="Q1487" s="13" t="str">
        <f>INDEX($L:$L, MATCH("eager", $B:$B, 0))</f>
        <v>&lt;span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v>
      </c>
      <c r="AU1487" s="15"/>
      <c r="AV1487" s="1" t="s">
        <v>38</v>
      </c>
      <c r="BG1487" s="7" t="s">
        <v>1242</v>
      </c>
      <c r="BH1487" s="1" t="s">
        <v>1947</v>
      </c>
      <c r="BI1487" s="2" t="s">
        <v>7080</v>
      </c>
      <c r="BJ1487" s="1" t="s">
        <v>1875</v>
      </c>
      <c r="BK1487" s="2" t="s">
        <v>7081</v>
      </c>
      <c r="BL1487" s="1" t="s">
        <v>1877</v>
      </c>
      <c r="BM1487" s="2" t="s">
        <v>7082</v>
      </c>
    </row>
    <row r="1488" spans="1:67" ht="126" x14ac:dyDescent="0.45">
      <c r="A1488" s="5">
        <v>1487</v>
      </c>
      <c r="B1488" s="8" t="s">
        <v>1223</v>
      </c>
      <c r="C1488" s="6" t="s">
        <v>6852</v>
      </c>
      <c r="D1488" s="7" t="s">
        <v>9794</v>
      </c>
      <c r="E1488" s="1" t="s">
        <v>1505</v>
      </c>
      <c r="F1488" s="1" t="s">
        <v>1456</v>
      </c>
      <c r="G1488" s="1" t="s">
        <v>1819</v>
      </c>
      <c r="J1488" s="1" t="s">
        <v>9795</v>
      </c>
      <c r="L1488" s="2" t="s">
        <v>10055</v>
      </c>
      <c r="M1488" s="1" t="s">
        <v>12247</v>
      </c>
      <c r="P1488" s="7" t="s">
        <v>1241</v>
      </c>
      <c r="Q1488" s="13"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R1488" s="13"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U1488" s="15"/>
      <c r="AV1488" s="1" t="s">
        <v>38</v>
      </c>
      <c r="BG1488" s="7" t="s">
        <v>1242</v>
      </c>
      <c r="BH1488" s="1" t="s">
        <v>1875</v>
      </c>
      <c r="BI1488" s="2" t="s">
        <v>10056</v>
      </c>
      <c r="BJ1488" s="1" t="s">
        <v>1877</v>
      </c>
      <c r="BK1488" s="2" t="s">
        <v>10057</v>
      </c>
    </row>
    <row r="1489" spans="1:69" ht="126" x14ac:dyDescent="0.45">
      <c r="A1489" s="5">
        <v>1488</v>
      </c>
      <c r="B1489" s="8" t="s">
        <v>1224</v>
      </c>
      <c r="C1489" s="6" t="s">
        <v>6852</v>
      </c>
      <c r="D1489" s="7" t="s">
        <v>9794</v>
      </c>
      <c r="E1489" s="1" t="s">
        <v>7083</v>
      </c>
      <c r="F1489" s="1" t="s">
        <v>1905</v>
      </c>
      <c r="G1489" s="1" t="s">
        <v>1595</v>
      </c>
      <c r="J1489" s="1" t="s">
        <v>9795</v>
      </c>
      <c r="L1489" s="2" t="s">
        <v>10058</v>
      </c>
      <c r="P1489" s="7" t="s">
        <v>1241</v>
      </c>
      <c r="Q1489" s="13"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R1489" s="13"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AU1489" s="15"/>
      <c r="AV1489" s="1" t="s">
        <v>38</v>
      </c>
      <c r="BG1489" s="7" t="s">
        <v>1242</v>
      </c>
      <c r="BH1489" s="1" t="s">
        <v>2458</v>
      </c>
      <c r="BI1489" s="2" t="s">
        <v>7084</v>
      </c>
      <c r="BJ1489" s="1" t="s">
        <v>2036</v>
      </c>
      <c r="BK1489" s="1" t="s">
        <v>7085</v>
      </c>
      <c r="BL1489" s="1" t="s">
        <v>1875</v>
      </c>
      <c r="BM1489" s="2" t="s">
        <v>7086</v>
      </c>
      <c r="BN1489" s="1" t="s">
        <v>1877</v>
      </c>
      <c r="BO1489" s="2" t="s">
        <v>7087</v>
      </c>
    </row>
    <row r="1490" spans="1:69" ht="108" x14ac:dyDescent="0.45">
      <c r="A1490" s="5">
        <v>1489</v>
      </c>
      <c r="B1490" s="6" t="s">
        <v>1225</v>
      </c>
      <c r="C1490" s="6" t="s">
        <v>6852</v>
      </c>
      <c r="D1490" s="7" t="s">
        <v>9794</v>
      </c>
      <c r="E1490" s="1" t="s">
        <v>7088</v>
      </c>
      <c r="F1490" s="1" t="s">
        <v>1927</v>
      </c>
      <c r="G1490" s="1"/>
      <c r="J1490" s="1" t="s">
        <v>9795</v>
      </c>
      <c r="K1490" s="1" t="s">
        <v>7089</v>
      </c>
      <c r="L1490" s="2" t="s">
        <v>10059</v>
      </c>
      <c r="P1490" s="7" t="s">
        <v>1241</v>
      </c>
      <c r="AV1490" s="1" t="s">
        <v>38</v>
      </c>
      <c r="BG1490" s="7" t="s">
        <v>1242</v>
      </c>
      <c r="BH1490" s="1" t="s">
        <v>1947</v>
      </c>
      <c r="BI1490" s="1" t="s">
        <v>7090</v>
      </c>
      <c r="BJ1490" s="1" t="s">
        <v>2036</v>
      </c>
      <c r="BK1490" s="2" t="s">
        <v>7091</v>
      </c>
      <c r="BL1490" s="1" t="s">
        <v>1877</v>
      </c>
      <c r="BM1490" s="2" t="s">
        <v>7092</v>
      </c>
    </row>
    <row r="1491" spans="1:69" ht="252" x14ac:dyDescent="0.45">
      <c r="A1491" s="5">
        <v>1490</v>
      </c>
      <c r="B1491" s="8" t="s">
        <v>1226</v>
      </c>
      <c r="C1491" s="6" t="s">
        <v>6852</v>
      </c>
      <c r="D1491" s="7" t="s">
        <v>9794</v>
      </c>
      <c r="E1491" s="1" t="s">
        <v>49</v>
      </c>
      <c r="F1491" s="1" t="s">
        <v>1720</v>
      </c>
      <c r="G1491" s="1" t="s">
        <v>6391</v>
      </c>
      <c r="J1491" s="1" t="s">
        <v>9795</v>
      </c>
      <c r="K1491" s="2" t="s">
        <v>10060</v>
      </c>
      <c r="L1491" s="3" t="s">
        <v>10061</v>
      </c>
      <c r="M1491" s="1" t="s">
        <v>12262</v>
      </c>
      <c r="P1491" s="7" t="s">
        <v>1241</v>
      </c>
      <c r="Q1491" s="13"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1491" s="13"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ミステリ小説などで使われる「アリバイ」という言葉は、ラテン語aliusが、場所を意味する形になったalibi（他の場所）に由来する。事件当時に他の場所にいたことを示すことから、alibiという語が使われるようになった。&lt;/span&gt;</v>
      </c>
      <c r="S1491" s="13"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AU1491" s="15"/>
      <c r="AV1491" s="1" t="s">
        <v>38</v>
      </c>
      <c r="BG1491" s="7" t="s">
        <v>1242</v>
      </c>
      <c r="BH1491" s="1" t="s">
        <v>1976</v>
      </c>
      <c r="BI1491" s="2" t="s">
        <v>7093</v>
      </c>
      <c r="BJ1491" s="1" t="s">
        <v>1947</v>
      </c>
      <c r="BK1491" s="2" t="s">
        <v>7094</v>
      </c>
      <c r="BL1491" s="1" t="s">
        <v>1877</v>
      </c>
      <c r="BM1491" s="2" t="s">
        <v>7095</v>
      </c>
    </row>
    <row r="1492" spans="1:69" ht="126" x14ac:dyDescent="0.45">
      <c r="A1492" s="5">
        <v>1491</v>
      </c>
      <c r="B1492" s="8" t="s">
        <v>1227</v>
      </c>
      <c r="C1492" s="6" t="s">
        <v>6852</v>
      </c>
      <c r="D1492" s="7" t="s">
        <v>9794</v>
      </c>
      <c r="E1492" s="1" t="s">
        <v>5539</v>
      </c>
      <c r="F1492" s="1" t="s">
        <v>49</v>
      </c>
      <c r="G1492" s="1"/>
      <c r="J1492" s="1" t="s">
        <v>9795</v>
      </c>
      <c r="L1492" s="2" t="s">
        <v>10062</v>
      </c>
      <c r="P1492" s="7" t="s">
        <v>1241</v>
      </c>
      <c r="Q1492" s="13"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1492" s="13"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S1492"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T1492" s="13"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U1492"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1492"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AV1492" s="1" t="s">
        <v>38</v>
      </c>
      <c r="BG1492" s="7" t="s">
        <v>1242</v>
      </c>
      <c r="BH1492" s="1" t="s">
        <v>1947</v>
      </c>
      <c r="BI1492" s="1" t="s">
        <v>7097</v>
      </c>
      <c r="BJ1492" s="1" t="s">
        <v>7098</v>
      </c>
      <c r="BK1492" s="2" t="s">
        <v>7099</v>
      </c>
      <c r="BL1492" s="1" t="s">
        <v>1959</v>
      </c>
      <c r="BM1492" s="2" t="s">
        <v>7100</v>
      </c>
      <c r="BN1492" s="1" t="s">
        <v>1875</v>
      </c>
      <c r="BO1492" s="2" t="s">
        <v>7101</v>
      </c>
      <c r="BP1492" s="1" t="s">
        <v>1877</v>
      </c>
      <c r="BQ1492" s="2" t="s">
        <v>7102</v>
      </c>
    </row>
    <row r="1493" spans="1:69" ht="180" x14ac:dyDescent="0.45">
      <c r="A1493" s="5">
        <v>1492</v>
      </c>
      <c r="B1493" s="6" t="s">
        <v>1228</v>
      </c>
      <c r="C1493" s="6" t="s">
        <v>6852</v>
      </c>
      <c r="D1493" s="7" t="s">
        <v>9794</v>
      </c>
      <c r="E1493" s="1" t="s">
        <v>7103</v>
      </c>
      <c r="F1493" s="1" t="s">
        <v>1758</v>
      </c>
      <c r="G1493" s="1"/>
      <c r="J1493" s="1" t="s">
        <v>9795</v>
      </c>
      <c r="K1493" s="2" t="s">
        <v>10063</v>
      </c>
      <c r="L1493" s="2" t="s">
        <v>10064</v>
      </c>
      <c r="P1493" s="7" t="s">
        <v>1241</v>
      </c>
      <c r="AU1493" s="15"/>
      <c r="AV1493" s="1" t="s">
        <v>38</v>
      </c>
      <c r="BG1493" s="7" t="s">
        <v>1242</v>
      </c>
      <c r="BH1493" s="1" t="s">
        <v>1947</v>
      </c>
      <c r="BI1493" s="2" t="s">
        <v>10065</v>
      </c>
      <c r="BJ1493" s="1" t="s">
        <v>1959</v>
      </c>
      <c r="BK1493" s="2" t="s">
        <v>7104</v>
      </c>
      <c r="BL1493" s="1" t="s">
        <v>1875</v>
      </c>
      <c r="BM1493" s="2" t="s">
        <v>7105</v>
      </c>
    </row>
    <row r="1494" spans="1:69" ht="180" x14ac:dyDescent="0.45">
      <c r="A1494" s="5">
        <v>1493</v>
      </c>
      <c r="B1494" s="6" t="s">
        <v>1229</v>
      </c>
      <c r="C1494" s="6" t="s">
        <v>6852</v>
      </c>
      <c r="D1494" s="7" t="s">
        <v>9794</v>
      </c>
      <c r="E1494" s="1" t="s">
        <v>7106</v>
      </c>
      <c r="F1494" s="1" t="s">
        <v>1551</v>
      </c>
      <c r="G1494" s="1"/>
      <c r="J1494" s="1" t="s">
        <v>9795</v>
      </c>
      <c r="L1494" s="3" t="s">
        <v>11786</v>
      </c>
      <c r="P1494" s="7" t="s">
        <v>1241</v>
      </c>
      <c r="AU1494" s="15"/>
      <c r="AV1494" s="1" t="s">
        <v>38</v>
      </c>
      <c r="BG1494" s="7" t="s">
        <v>1242</v>
      </c>
      <c r="BH1494" s="1" t="s">
        <v>2458</v>
      </c>
      <c r="BI1494" s="2" t="s">
        <v>10066</v>
      </c>
      <c r="BJ1494" s="1" t="s">
        <v>1877</v>
      </c>
      <c r="BK1494" s="2" t="s">
        <v>7107</v>
      </c>
    </row>
    <row r="1495" spans="1:69" ht="162" x14ac:dyDescent="0.45">
      <c r="A1495" s="5">
        <v>1494</v>
      </c>
      <c r="B1495" s="6" t="s">
        <v>1230</v>
      </c>
      <c r="C1495" s="6" t="s">
        <v>6852</v>
      </c>
      <c r="D1495" s="7" t="s">
        <v>9794</v>
      </c>
      <c r="E1495" s="1" t="s">
        <v>1230</v>
      </c>
      <c r="F1495" s="1"/>
      <c r="G1495" s="1"/>
      <c r="J1495" s="1" t="s">
        <v>9795</v>
      </c>
      <c r="L1495" s="3" t="s">
        <v>10067</v>
      </c>
      <c r="P1495" s="7" t="s">
        <v>1241</v>
      </c>
      <c r="AV1495" s="1" t="s">
        <v>38</v>
      </c>
      <c r="BG1495" s="7" t="s">
        <v>1242</v>
      </c>
      <c r="BH1495" s="1" t="s">
        <v>1947</v>
      </c>
      <c r="BI1495" s="1" t="s">
        <v>7108</v>
      </c>
      <c r="BJ1495" s="1" t="s">
        <v>1959</v>
      </c>
      <c r="BK1495" s="1" t="s">
        <v>7109</v>
      </c>
      <c r="BL1495" s="1" t="s">
        <v>1875</v>
      </c>
      <c r="BM1495" s="2" t="s">
        <v>7110</v>
      </c>
    </row>
    <row r="1496" spans="1:69" ht="72" x14ac:dyDescent="0.45">
      <c r="A1496" s="5">
        <v>1495</v>
      </c>
      <c r="B1496" s="6" t="s">
        <v>1231</v>
      </c>
      <c r="C1496" s="6" t="s">
        <v>6852</v>
      </c>
      <c r="D1496" s="7" t="s">
        <v>9794</v>
      </c>
      <c r="E1496" s="1" t="s">
        <v>1231</v>
      </c>
      <c r="F1496" s="1"/>
      <c r="G1496" s="1"/>
      <c r="J1496" s="1" t="s">
        <v>9795</v>
      </c>
      <c r="L1496" s="2" t="s">
        <v>10068</v>
      </c>
      <c r="P1496" s="7" t="s">
        <v>1241</v>
      </c>
      <c r="AV1496" s="1" t="s">
        <v>38</v>
      </c>
      <c r="BG1496" s="7" t="s">
        <v>1242</v>
      </c>
      <c r="BH1496" s="1" t="s">
        <v>1947</v>
      </c>
      <c r="BI1496" s="1" t="s">
        <v>7111</v>
      </c>
      <c r="BJ1496" s="1" t="s">
        <v>1959</v>
      </c>
      <c r="BK1496" s="1" t="s">
        <v>7112</v>
      </c>
      <c r="BL1496" s="1" t="s">
        <v>1875</v>
      </c>
      <c r="BM1496" s="2" t="s">
        <v>7113</v>
      </c>
    </row>
    <row r="1497" spans="1:69" ht="108" x14ac:dyDescent="0.45">
      <c r="A1497" s="5">
        <v>1496</v>
      </c>
      <c r="B1497" s="6" t="s">
        <v>1232</v>
      </c>
      <c r="C1497" s="6" t="s">
        <v>6852</v>
      </c>
      <c r="D1497" s="7" t="s">
        <v>9794</v>
      </c>
      <c r="E1497" s="1" t="s">
        <v>7114</v>
      </c>
      <c r="F1497" s="1" t="s">
        <v>7115</v>
      </c>
      <c r="G1497" s="1"/>
      <c r="J1497" s="1" t="s">
        <v>9795</v>
      </c>
      <c r="L1497" s="2" t="s">
        <v>10069</v>
      </c>
      <c r="P1497" s="7" t="s">
        <v>1241</v>
      </c>
      <c r="AU1497" s="15"/>
      <c r="AV1497" s="1" t="s">
        <v>38</v>
      </c>
      <c r="BG1497" s="7" t="s">
        <v>1242</v>
      </c>
      <c r="BH1497" s="1" t="s">
        <v>1947</v>
      </c>
      <c r="BI1497" s="2" t="s">
        <v>7116</v>
      </c>
      <c r="BJ1497" s="1" t="s">
        <v>2036</v>
      </c>
      <c r="BK1497" s="1" t="s">
        <v>7117</v>
      </c>
      <c r="BL1497" s="1" t="s">
        <v>1877</v>
      </c>
      <c r="BM1497" s="2" t="s">
        <v>7118</v>
      </c>
    </row>
    <row r="1498" spans="1:69" ht="108" x14ac:dyDescent="0.45">
      <c r="A1498" s="5">
        <v>1497</v>
      </c>
      <c r="B1498" s="6" t="s">
        <v>1233</v>
      </c>
      <c r="C1498" s="6" t="s">
        <v>6852</v>
      </c>
      <c r="D1498" s="7" t="s">
        <v>9794</v>
      </c>
      <c r="E1498" s="1" t="s">
        <v>7119</v>
      </c>
      <c r="F1498" s="1" t="s">
        <v>49</v>
      </c>
      <c r="G1498" s="1"/>
      <c r="J1498" s="1" t="s">
        <v>9795</v>
      </c>
      <c r="L1498" s="2" t="s">
        <v>10070</v>
      </c>
      <c r="P1498" s="7" t="s">
        <v>1241</v>
      </c>
      <c r="AV1498" s="1" t="s">
        <v>38</v>
      </c>
      <c r="BG1498" s="7" t="s">
        <v>1242</v>
      </c>
      <c r="BH1498" s="1" t="s">
        <v>1947</v>
      </c>
      <c r="BI1498" s="1" t="s">
        <v>7120</v>
      </c>
      <c r="BJ1498" s="1" t="s">
        <v>1877</v>
      </c>
      <c r="BK1498" s="2" t="s">
        <v>7121</v>
      </c>
    </row>
    <row r="1499" spans="1:69" ht="234" x14ac:dyDescent="0.45">
      <c r="A1499" s="5">
        <v>1498</v>
      </c>
      <c r="B1499" s="6" t="s">
        <v>1234</v>
      </c>
      <c r="C1499" s="6" t="s">
        <v>6852</v>
      </c>
      <c r="D1499" s="7" t="s">
        <v>9794</v>
      </c>
      <c r="E1499" s="1" t="s">
        <v>1234</v>
      </c>
      <c r="F1499" s="1"/>
      <c r="G1499" s="1"/>
      <c r="J1499" s="1" t="s">
        <v>9795</v>
      </c>
      <c r="L1499" s="2" t="s">
        <v>10071</v>
      </c>
      <c r="P1499" s="7" t="s">
        <v>1241</v>
      </c>
      <c r="AU1499" s="15"/>
      <c r="AV1499" s="1" t="s">
        <v>38</v>
      </c>
      <c r="BG1499" s="7" t="s">
        <v>1242</v>
      </c>
      <c r="BH1499" s="1" t="s">
        <v>1947</v>
      </c>
      <c r="BI1499" s="2" t="s">
        <v>7122</v>
      </c>
      <c r="BJ1499" s="1" t="s">
        <v>1959</v>
      </c>
      <c r="BK1499" s="2" t="s">
        <v>7123</v>
      </c>
      <c r="BL1499" s="1" t="s">
        <v>2114</v>
      </c>
      <c r="BM1499" s="1" t="s">
        <v>7124</v>
      </c>
      <c r="BN1499" s="1" t="s">
        <v>1877</v>
      </c>
      <c r="BO1499" s="2" t="s">
        <v>7125</v>
      </c>
    </row>
    <row r="1500" spans="1:69" ht="198" x14ac:dyDescent="0.45">
      <c r="A1500" s="5">
        <v>1499</v>
      </c>
      <c r="B1500" s="6" t="s">
        <v>1235</v>
      </c>
      <c r="C1500" s="6" t="s">
        <v>6852</v>
      </c>
      <c r="D1500" s="7" t="s">
        <v>9794</v>
      </c>
      <c r="E1500" s="1" t="s">
        <v>7126</v>
      </c>
      <c r="F1500" s="1" t="s">
        <v>1946</v>
      </c>
      <c r="G1500" s="1"/>
      <c r="J1500" s="1" t="s">
        <v>9795</v>
      </c>
      <c r="L1500" s="2" t="s">
        <v>11787</v>
      </c>
      <c r="P1500" s="7" t="s">
        <v>1241</v>
      </c>
      <c r="AV1500" s="1" t="s">
        <v>38</v>
      </c>
      <c r="BG1500" s="7" t="s">
        <v>1242</v>
      </c>
      <c r="BH1500" s="1" t="s">
        <v>1872</v>
      </c>
      <c r="BI1500" s="1" t="s">
        <v>7127</v>
      </c>
      <c r="BJ1500" s="1" t="s">
        <v>1875</v>
      </c>
      <c r="BK1500" s="2" t="s">
        <v>7128</v>
      </c>
      <c r="BL1500" s="1" t="s">
        <v>1877</v>
      </c>
      <c r="BM1500" s="2" t="s">
        <v>7129</v>
      </c>
    </row>
    <row r="1501" spans="1:69" ht="144" x14ac:dyDescent="0.45">
      <c r="A1501" s="5">
        <v>1500</v>
      </c>
      <c r="B1501" s="8" t="s">
        <v>1236</v>
      </c>
      <c r="C1501" s="6" t="s">
        <v>6852</v>
      </c>
      <c r="D1501" s="7" t="s">
        <v>9794</v>
      </c>
      <c r="E1501" s="1" t="s">
        <v>7130</v>
      </c>
      <c r="F1501" s="1" t="s">
        <v>49</v>
      </c>
      <c r="G1501" s="1"/>
      <c r="J1501" s="1" t="s">
        <v>9795</v>
      </c>
      <c r="L1501" s="2" t="s">
        <v>10072</v>
      </c>
      <c r="P1501" s="7" t="s">
        <v>1241</v>
      </c>
      <c r="Q1501" s="13"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R1501" s="13"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U1501" s="15"/>
      <c r="AV1501" s="1" t="s">
        <v>38</v>
      </c>
      <c r="BG1501" s="7" t="s">
        <v>1242</v>
      </c>
      <c r="BH1501" s="1" t="s">
        <v>1947</v>
      </c>
      <c r="BI1501" s="2" t="s">
        <v>7131</v>
      </c>
      <c r="BJ1501" s="1" t="s">
        <v>1959</v>
      </c>
      <c r="BK1501" s="1" t="s">
        <v>7132</v>
      </c>
      <c r="BL1501" s="1" t="s">
        <v>1996</v>
      </c>
      <c r="BM1501" s="1" t="s">
        <v>1236</v>
      </c>
      <c r="BN1501" s="1" t="s">
        <v>1877</v>
      </c>
      <c r="BO1501" s="2" t="s">
        <v>7133</v>
      </c>
    </row>
    <row r="1502" spans="1:69" ht="108" x14ac:dyDescent="0.45">
      <c r="A1502" s="5">
        <v>1501</v>
      </c>
      <c r="B1502" s="2" t="s">
        <v>10746</v>
      </c>
      <c r="C1502" s="2"/>
      <c r="E1502" s="1"/>
      <c r="F1502" s="1"/>
      <c r="G1502" s="1"/>
      <c r="J1502" s="1" t="s">
        <v>7559</v>
      </c>
      <c r="K1502" s="2" t="s">
        <v>10078</v>
      </c>
      <c r="P1502" s="7" t="s">
        <v>1241</v>
      </c>
      <c r="AV1502" s="1" t="s">
        <v>38</v>
      </c>
      <c r="BG1502" s="7" t="s">
        <v>1242</v>
      </c>
    </row>
    <row r="1503" spans="1:69" ht="126" x14ac:dyDescent="0.45">
      <c r="A1503" s="5">
        <v>1502</v>
      </c>
      <c r="B1503" s="2" t="s">
        <v>10747</v>
      </c>
      <c r="C1503" s="2"/>
      <c r="E1503" s="1"/>
      <c r="F1503" s="1"/>
      <c r="G1503" s="1"/>
      <c r="J1503" s="1" t="s">
        <v>7559</v>
      </c>
      <c r="K1503" s="2" t="s">
        <v>10748</v>
      </c>
      <c r="P1503" s="7" t="s">
        <v>1241</v>
      </c>
      <c r="AV1503" s="1" t="s">
        <v>38</v>
      </c>
      <c r="BG1503" s="7" t="s">
        <v>1242</v>
      </c>
    </row>
    <row r="1504" spans="1:69" ht="409.6" x14ac:dyDescent="0.45">
      <c r="A1504" s="5">
        <v>1503</v>
      </c>
      <c r="B1504" s="2" t="s">
        <v>10749</v>
      </c>
      <c r="C1504" s="2"/>
      <c r="E1504" s="1"/>
      <c r="F1504" s="1"/>
      <c r="G1504" s="1"/>
      <c r="J1504" s="1" t="s">
        <v>7559</v>
      </c>
      <c r="K1504" s="11" t="s">
        <v>11788</v>
      </c>
      <c r="P1504" s="7" t="s">
        <v>1241</v>
      </c>
      <c r="AV1504" s="1" t="s">
        <v>38</v>
      </c>
      <c r="BG1504" s="7" t="s">
        <v>1242</v>
      </c>
    </row>
    <row r="1505" spans="1:59" ht="409.6" x14ac:dyDescent="0.45">
      <c r="A1505" s="5">
        <v>1504</v>
      </c>
      <c r="B1505" s="2" t="s">
        <v>10750</v>
      </c>
      <c r="C1505" s="2"/>
      <c r="E1505" s="1"/>
      <c r="F1505" s="1"/>
      <c r="G1505" s="1"/>
      <c r="J1505" s="1" t="s">
        <v>7559</v>
      </c>
      <c r="K1505" s="11" t="s">
        <v>11789</v>
      </c>
      <c r="P1505" s="7" t="s">
        <v>1241</v>
      </c>
      <c r="AV1505" s="1" t="s">
        <v>38</v>
      </c>
      <c r="BG1505" s="7" t="s">
        <v>1242</v>
      </c>
    </row>
    <row r="1506" spans="1:59" ht="324" x14ac:dyDescent="0.45">
      <c r="A1506" s="5">
        <v>1505</v>
      </c>
      <c r="B1506" s="2" t="s">
        <v>10751</v>
      </c>
      <c r="C1506" s="2"/>
      <c r="E1506" s="1"/>
      <c r="F1506" s="1"/>
      <c r="G1506" s="1"/>
      <c r="J1506" s="1" t="s">
        <v>7559</v>
      </c>
      <c r="K1506" s="11" t="s">
        <v>11790</v>
      </c>
      <c r="P1506" s="7" t="s">
        <v>1241</v>
      </c>
      <c r="AV1506" s="1" t="s">
        <v>38</v>
      </c>
      <c r="BG1506" s="7" t="s">
        <v>1242</v>
      </c>
    </row>
    <row r="1507" spans="1:59" ht="342" x14ac:dyDescent="0.45">
      <c r="A1507" s="5">
        <v>1506</v>
      </c>
      <c r="B1507" s="2" t="s">
        <v>10752</v>
      </c>
      <c r="C1507" s="2"/>
      <c r="E1507" s="1"/>
      <c r="F1507" s="1"/>
      <c r="G1507" s="1"/>
      <c r="J1507" s="1" t="s">
        <v>7559</v>
      </c>
      <c r="K1507" s="2" t="s">
        <v>10079</v>
      </c>
      <c r="P1507" s="7" t="s">
        <v>1241</v>
      </c>
      <c r="AV1507" s="1" t="s">
        <v>38</v>
      </c>
      <c r="BG1507" s="7" t="s">
        <v>1242</v>
      </c>
    </row>
    <row r="1508" spans="1:59" ht="180" x14ac:dyDescent="0.45">
      <c r="A1508" s="5">
        <v>1507</v>
      </c>
      <c r="B1508" s="2" t="s">
        <v>10753</v>
      </c>
      <c r="C1508" s="2"/>
      <c r="E1508" s="1"/>
      <c r="F1508" s="1"/>
      <c r="G1508" s="1"/>
      <c r="J1508" s="1" t="s">
        <v>7559</v>
      </c>
      <c r="K1508" s="2" t="s">
        <v>10080</v>
      </c>
      <c r="P1508" s="7" t="s">
        <v>1241</v>
      </c>
      <c r="AV1508" s="1" t="s">
        <v>38</v>
      </c>
      <c r="BG1508" s="7" t="s">
        <v>1242</v>
      </c>
    </row>
    <row r="1509" spans="1:59" ht="162" x14ac:dyDescent="0.45">
      <c r="A1509" s="5">
        <v>1508</v>
      </c>
      <c r="B1509" s="2" t="s">
        <v>10754</v>
      </c>
      <c r="C1509" s="2"/>
      <c r="E1509" s="1"/>
      <c r="F1509" s="1"/>
      <c r="G1509" s="1"/>
      <c r="J1509" s="1" t="s">
        <v>7559</v>
      </c>
      <c r="K1509" s="2" t="s">
        <v>10081</v>
      </c>
      <c r="P1509" s="7" t="s">
        <v>1241</v>
      </c>
      <c r="AV1509" s="1" t="s">
        <v>38</v>
      </c>
      <c r="BG1509" s="7" t="s">
        <v>1242</v>
      </c>
    </row>
    <row r="1510" spans="1:59" ht="342" x14ac:dyDescent="0.45">
      <c r="A1510" s="5">
        <v>1509</v>
      </c>
      <c r="B1510" s="2" t="s">
        <v>10755</v>
      </c>
      <c r="C1510" s="2"/>
      <c r="E1510" s="1"/>
      <c r="F1510" s="1"/>
      <c r="G1510" s="1"/>
      <c r="J1510" s="1" t="s">
        <v>7559</v>
      </c>
      <c r="K1510" s="2" t="s">
        <v>10082</v>
      </c>
      <c r="P1510" s="7" t="s">
        <v>1241</v>
      </c>
      <c r="AV1510" s="1" t="s">
        <v>38</v>
      </c>
      <c r="BG1510" s="7" t="s">
        <v>1242</v>
      </c>
    </row>
    <row r="1511" spans="1:59" ht="108" x14ac:dyDescent="0.45">
      <c r="A1511" s="5">
        <v>1510</v>
      </c>
      <c r="B1511" s="2" t="s">
        <v>10756</v>
      </c>
      <c r="C1511" s="2"/>
      <c r="E1511" s="1"/>
      <c r="F1511" s="1"/>
      <c r="G1511" s="1"/>
      <c r="J1511" s="1" t="s">
        <v>7559</v>
      </c>
      <c r="K1511" s="2" t="s">
        <v>10083</v>
      </c>
      <c r="P1511" s="7" t="s">
        <v>1241</v>
      </c>
      <c r="AV1511" s="1" t="s">
        <v>38</v>
      </c>
      <c r="BG1511" s="7" t="s">
        <v>1242</v>
      </c>
    </row>
    <row r="1512" spans="1:59" ht="288" x14ac:dyDescent="0.45">
      <c r="A1512" s="5">
        <v>1511</v>
      </c>
      <c r="B1512" s="2" t="s">
        <v>10757</v>
      </c>
      <c r="C1512" s="2"/>
      <c r="E1512" s="1"/>
      <c r="F1512" s="1"/>
      <c r="G1512" s="1"/>
      <c r="J1512" s="1" t="s">
        <v>7559</v>
      </c>
      <c r="K1512" s="2" t="s">
        <v>10084</v>
      </c>
      <c r="P1512" s="7" t="s">
        <v>1241</v>
      </c>
      <c r="AV1512" s="1" t="s">
        <v>38</v>
      </c>
      <c r="BG1512" s="7" t="s">
        <v>1242</v>
      </c>
    </row>
    <row r="1513" spans="1:59" ht="108" x14ac:dyDescent="0.45">
      <c r="A1513" s="5">
        <v>1512</v>
      </c>
      <c r="B1513" s="2" t="s">
        <v>10758</v>
      </c>
      <c r="C1513" s="2"/>
      <c r="E1513" s="1"/>
      <c r="F1513" s="1"/>
      <c r="G1513" s="1"/>
      <c r="J1513" s="1" t="s">
        <v>7559</v>
      </c>
      <c r="K1513" s="2" t="s">
        <v>10085</v>
      </c>
      <c r="P1513" s="7" t="s">
        <v>1241</v>
      </c>
      <c r="AV1513" s="1" t="s">
        <v>38</v>
      </c>
      <c r="BG1513" s="7" t="s">
        <v>1242</v>
      </c>
    </row>
    <row r="1514" spans="1:59" ht="180" x14ac:dyDescent="0.45">
      <c r="A1514" s="5">
        <v>1513</v>
      </c>
      <c r="B1514" s="2" t="s">
        <v>10759</v>
      </c>
      <c r="C1514" s="2"/>
      <c r="E1514" s="1"/>
      <c r="F1514" s="1"/>
      <c r="G1514" s="1"/>
      <c r="J1514" s="1" t="s">
        <v>7559</v>
      </c>
      <c r="K1514" s="11" t="s">
        <v>11791</v>
      </c>
      <c r="P1514" s="7" t="s">
        <v>1241</v>
      </c>
      <c r="AV1514" s="1" t="s">
        <v>38</v>
      </c>
      <c r="BG1514" s="7" t="s">
        <v>1242</v>
      </c>
    </row>
    <row r="1515" spans="1:59" ht="216" x14ac:dyDescent="0.45">
      <c r="A1515" s="5">
        <v>1514</v>
      </c>
      <c r="B1515" s="2" t="s">
        <v>10760</v>
      </c>
      <c r="C1515" s="2"/>
      <c r="E1515" s="1"/>
      <c r="F1515" s="1"/>
      <c r="G1515" s="1"/>
      <c r="J1515" s="1" t="s">
        <v>7559</v>
      </c>
      <c r="K1515" s="2" t="s">
        <v>10086</v>
      </c>
      <c r="P1515" s="7" t="s">
        <v>1241</v>
      </c>
      <c r="AV1515" s="1" t="s">
        <v>38</v>
      </c>
      <c r="BG1515" s="7" t="s">
        <v>1242</v>
      </c>
    </row>
    <row r="1516" spans="1:59" ht="306" x14ac:dyDescent="0.45">
      <c r="A1516" s="5">
        <v>1515</v>
      </c>
      <c r="B1516" s="2" t="s">
        <v>10761</v>
      </c>
      <c r="C1516" s="2"/>
      <c r="E1516" s="1"/>
      <c r="F1516" s="1"/>
      <c r="G1516" s="1"/>
      <c r="J1516" s="1" t="s">
        <v>7559</v>
      </c>
      <c r="K1516" s="2" t="s">
        <v>10087</v>
      </c>
      <c r="P1516" s="7" t="s">
        <v>1241</v>
      </c>
      <c r="AV1516" s="1" t="s">
        <v>38</v>
      </c>
      <c r="BG1516" s="7" t="s">
        <v>1242</v>
      </c>
    </row>
    <row r="1517" spans="1:59" ht="216" x14ac:dyDescent="0.45">
      <c r="A1517" s="5">
        <v>1516</v>
      </c>
      <c r="B1517" s="6" t="s">
        <v>10762</v>
      </c>
      <c r="C1517" s="6"/>
      <c r="E1517" s="1"/>
      <c r="F1517" s="1"/>
      <c r="G1517" s="1"/>
      <c r="J1517" s="1" t="s">
        <v>7559</v>
      </c>
      <c r="K1517" s="2" t="s">
        <v>11656</v>
      </c>
      <c r="P1517" s="7" t="s">
        <v>1241</v>
      </c>
      <c r="AV1517" s="1" t="s">
        <v>38</v>
      </c>
      <c r="BG1517" s="7" t="s">
        <v>1242</v>
      </c>
    </row>
    <row r="1518" spans="1:59" ht="324" x14ac:dyDescent="0.45">
      <c r="A1518" s="5">
        <v>1517</v>
      </c>
      <c r="B1518" s="2" t="s">
        <v>10763</v>
      </c>
      <c r="C1518" s="2"/>
      <c r="E1518" s="1"/>
      <c r="F1518" s="1"/>
      <c r="G1518" s="1"/>
      <c r="J1518" s="1" t="s">
        <v>7559</v>
      </c>
      <c r="K1518" s="2" t="s">
        <v>10088</v>
      </c>
      <c r="P1518" s="7" t="s">
        <v>1241</v>
      </c>
      <c r="AV1518" s="1" t="s">
        <v>38</v>
      </c>
      <c r="BG1518" s="7" t="s">
        <v>1242</v>
      </c>
    </row>
    <row r="1519" spans="1:59" ht="234" x14ac:dyDescent="0.45">
      <c r="A1519" s="5">
        <v>1518</v>
      </c>
      <c r="B1519" s="2" t="s">
        <v>10764</v>
      </c>
      <c r="C1519" s="2"/>
      <c r="E1519" s="1"/>
      <c r="F1519" s="1"/>
      <c r="G1519" s="1"/>
      <c r="J1519" s="1" t="s">
        <v>7559</v>
      </c>
      <c r="K1519" s="2" t="s">
        <v>10305</v>
      </c>
      <c r="P1519" s="7" t="s">
        <v>1241</v>
      </c>
      <c r="AV1519" s="1" t="s">
        <v>38</v>
      </c>
      <c r="BG1519" s="7" t="s">
        <v>1242</v>
      </c>
    </row>
    <row r="1520" spans="1:59" ht="216" x14ac:dyDescent="0.45">
      <c r="A1520" s="5">
        <v>1519</v>
      </c>
      <c r="B1520" s="2" t="s">
        <v>10765</v>
      </c>
      <c r="C1520" s="2"/>
      <c r="E1520" s="1"/>
      <c r="F1520" s="1"/>
      <c r="G1520" s="1"/>
      <c r="J1520" s="1" t="s">
        <v>7559</v>
      </c>
      <c r="K1520" s="2" t="s">
        <v>10089</v>
      </c>
      <c r="P1520" s="7" t="s">
        <v>1241</v>
      </c>
      <c r="AV1520" s="1" t="s">
        <v>38</v>
      </c>
      <c r="BG1520" s="7" t="s">
        <v>1242</v>
      </c>
    </row>
    <row r="1521" spans="1:59" ht="162" x14ac:dyDescent="0.45">
      <c r="A1521" s="5">
        <v>1520</v>
      </c>
      <c r="B1521" s="2" t="s">
        <v>10766</v>
      </c>
      <c r="C1521" s="2"/>
      <c r="E1521" s="1"/>
      <c r="F1521" s="1"/>
      <c r="G1521" s="1"/>
      <c r="J1521" s="1" t="s">
        <v>7559</v>
      </c>
      <c r="K1521" s="2" t="s">
        <v>10767</v>
      </c>
      <c r="P1521" s="7" t="s">
        <v>1241</v>
      </c>
      <c r="AV1521" s="1" t="s">
        <v>38</v>
      </c>
      <c r="BG1521" s="7" t="s">
        <v>1242</v>
      </c>
    </row>
    <row r="1522" spans="1:59" ht="270" x14ac:dyDescent="0.45">
      <c r="A1522" s="5">
        <v>1521</v>
      </c>
      <c r="B1522" s="2" t="s">
        <v>10768</v>
      </c>
      <c r="C1522" s="2"/>
      <c r="E1522" s="1"/>
      <c r="F1522" s="1"/>
      <c r="G1522" s="1"/>
      <c r="J1522" s="1" t="s">
        <v>7559</v>
      </c>
      <c r="K1522" s="2" t="s">
        <v>10090</v>
      </c>
      <c r="P1522" s="7" t="s">
        <v>1241</v>
      </c>
      <c r="AV1522" s="1" t="s">
        <v>38</v>
      </c>
      <c r="BG1522" s="7" t="s">
        <v>1242</v>
      </c>
    </row>
    <row r="1523" spans="1:59" ht="306" x14ac:dyDescent="0.45">
      <c r="A1523" s="5">
        <v>1522</v>
      </c>
      <c r="B1523" s="6" t="s">
        <v>10769</v>
      </c>
      <c r="C1523" s="6"/>
      <c r="E1523" s="1"/>
      <c r="F1523" s="1"/>
      <c r="G1523" s="1"/>
      <c r="J1523" s="1" t="s">
        <v>7559</v>
      </c>
      <c r="K1523" s="2" t="s">
        <v>10353</v>
      </c>
      <c r="P1523" s="7" t="s">
        <v>1241</v>
      </c>
      <c r="AV1523" s="1" t="s">
        <v>38</v>
      </c>
      <c r="BG1523" s="7" t="s">
        <v>1242</v>
      </c>
    </row>
    <row r="1524" spans="1:59" ht="378" x14ac:dyDescent="0.45">
      <c r="A1524" s="5">
        <v>1523</v>
      </c>
      <c r="B1524" s="2" t="s">
        <v>10770</v>
      </c>
      <c r="C1524" s="2"/>
      <c r="E1524" s="1"/>
      <c r="F1524" s="1"/>
      <c r="G1524" s="1"/>
      <c r="J1524" s="1" t="s">
        <v>7559</v>
      </c>
      <c r="K1524" s="2" t="s">
        <v>10091</v>
      </c>
      <c r="P1524" s="7" t="s">
        <v>1241</v>
      </c>
      <c r="AV1524" s="1" t="s">
        <v>38</v>
      </c>
      <c r="BG1524" s="7" t="s">
        <v>1242</v>
      </c>
    </row>
    <row r="1525" spans="1:59" ht="144" x14ac:dyDescent="0.45">
      <c r="A1525" s="5">
        <v>1524</v>
      </c>
      <c r="B1525" s="2" t="s">
        <v>10771</v>
      </c>
      <c r="C1525" s="2"/>
      <c r="E1525" s="1"/>
      <c r="F1525" s="1"/>
      <c r="G1525" s="1"/>
      <c r="J1525" s="1" t="s">
        <v>7559</v>
      </c>
      <c r="K1525" s="2" t="s">
        <v>10092</v>
      </c>
      <c r="P1525" s="7" t="s">
        <v>1241</v>
      </c>
      <c r="AV1525" s="1" t="s">
        <v>38</v>
      </c>
      <c r="BG1525" s="7" t="s">
        <v>1242</v>
      </c>
    </row>
    <row r="1526" spans="1:59" ht="72" x14ac:dyDescent="0.45">
      <c r="A1526" s="5">
        <v>1525</v>
      </c>
      <c r="B1526" s="2" t="s">
        <v>10772</v>
      </c>
      <c r="C1526" s="2"/>
      <c r="E1526" s="1"/>
      <c r="F1526" s="1"/>
      <c r="G1526" s="1"/>
      <c r="J1526" s="1" t="s">
        <v>7559</v>
      </c>
      <c r="K1526" s="2" t="s">
        <v>10093</v>
      </c>
      <c r="P1526" s="7" t="s">
        <v>1241</v>
      </c>
      <c r="AV1526" s="1" t="s">
        <v>38</v>
      </c>
      <c r="BG1526" s="7" t="s">
        <v>1242</v>
      </c>
    </row>
    <row r="1527" spans="1:59" ht="216" x14ac:dyDescent="0.45">
      <c r="A1527" s="5">
        <v>1526</v>
      </c>
      <c r="B1527" s="2" t="s">
        <v>10773</v>
      </c>
      <c r="C1527" s="2"/>
      <c r="E1527" s="1"/>
      <c r="F1527" s="1"/>
      <c r="G1527" s="1"/>
      <c r="J1527" s="1" t="s">
        <v>7559</v>
      </c>
      <c r="K1527" s="2" t="s">
        <v>10094</v>
      </c>
      <c r="P1527" s="7" t="s">
        <v>1241</v>
      </c>
      <c r="AV1527" s="1" t="s">
        <v>38</v>
      </c>
      <c r="BG1527" s="7" t="s">
        <v>1242</v>
      </c>
    </row>
    <row r="1528" spans="1:59" ht="162" x14ac:dyDescent="0.45">
      <c r="A1528" s="5">
        <v>1527</v>
      </c>
      <c r="B1528" s="2" t="s">
        <v>10774</v>
      </c>
      <c r="C1528" s="2"/>
      <c r="E1528" s="1"/>
      <c r="F1528" s="1"/>
      <c r="G1528" s="1"/>
      <c r="J1528" s="1" t="s">
        <v>7559</v>
      </c>
      <c r="K1528" s="2" t="s">
        <v>10095</v>
      </c>
      <c r="P1528" s="7" t="s">
        <v>1241</v>
      </c>
      <c r="AV1528" s="1" t="s">
        <v>38</v>
      </c>
      <c r="BG1528" s="7" t="s">
        <v>1242</v>
      </c>
    </row>
    <row r="1529" spans="1:59" ht="270" x14ac:dyDescent="0.45">
      <c r="A1529" s="5">
        <v>1528</v>
      </c>
      <c r="B1529" s="2" t="s">
        <v>10775</v>
      </c>
      <c r="C1529" s="2"/>
      <c r="E1529" s="1"/>
      <c r="F1529" s="1"/>
      <c r="G1529" s="1"/>
      <c r="J1529" s="1" t="s">
        <v>7559</v>
      </c>
      <c r="K1529" s="2" t="s">
        <v>10096</v>
      </c>
      <c r="P1529" s="7" t="s">
        <v>1241</v>
      </c>
      <c r="AV1529" s="1" t="s">
        <v>38</v>
      </c>
      <c r="BG1529" s="7" t="s">
        <v>1242</v>
      </c>
    </row>
    <row r="1530" spans="1:59" ht="180" x14ac:dyDescent="0.45">
      <c r="A1530" s="5">
        <v>1529</v>
      </c>
      <c r="B1530" s="2" t="s">
        <v>10776</v>
      </c>
      <c r="C1530" s="2"/>
      <c r="E1530" s="1"/>
      <c r="F1530" s="1"/>
      <c r="G1530" s="1"/>
      <c r="J1530" s="1" t="s">
        <v>7559</v>
      </c>
      <c r="K1530" s="2" t="s">
        <v>10097</v>
      </c>
      <c r="P1530" s="7" t="s">
        <v>1241</v>
      </c>
      <c r="AV1530" s="1" t="s">
        <v>38</v>
      </c>
      <c r="BG1530" s="7" t="s">
        <v>1242</v>
      </c>
    </row>
    <row r="1531" spans="1:59" ht="270" x14ac:dyDescent="0.45">
      <c r="A1531" s="5">
        <v>1530</v>
      </c>
      <c r="B1531" s="2" t="s">
        <v>10777</v>
      </c>
      <c r="C1531" s="2"/>
      <c r="E1531" s="1"/>
      <c r="F1531" s="1"/>
      <c r="G1531" s="1"/>
      <c r="J1531" s="1" t="s">
        <v>7559</v>
      </c>
      <c r="K1531" s="2" t="s">
        <v>10098</v>
      </c>
      <c r="P1531" s="7" t="s">
        <v>1241</v>
      </c>
      <c r="AV1531" s="1" t="s">
        <v>38</v>
      </c>
      <c r="BG1531" s="7" t="s">
        <v>1242</v>
      </c>
    </row>
    <row r="1532" spans="1:59" ht="270" x14ac:dyDescent="0.45">
      <c r="A1532" s="5">
        <v>1531</v>
      </c>
      <c r="B1532" s="2" t="s">
        <v>10778</v>
      </c>
      <c r="C1532" s="2"/>
      <c r="E1532" s="1"/>
      <c r="F1532" s="1"/>
      <c r="G1532" s="1"/>
      <c r="J1532" s="1" t="s">
        <v>7559</v>
      </c>
      <c r="K1532" s="11" t="s">
        <v>11792</v>
      </c>
      <c r="P1532" s="7" t="s">
        <v>1241</v>
      </c>
      <c r="AV1532" s="1" t="s">
        <v>38</v>
      </c>
      <c r="BG1532" s="7" t="s">
        <v>1242</v>
      </c>
    </row>
    <row r="1533" spans="1:59" ht="126" x14ac:dyDescent="0.45">
      <c r="A1533" s="5">
        <v>1532</v>
      </c>
      <c r="B1533" s="2" t="s">
        <v>10779</v>
      </c>
      <c r="C1533" s="2"/>
      <c r="E1533" s="1"/>
      <c r="F1533" s="1"/>
      <c r="G1533" s="1"/>
      <c r="J1533" s="1" t="s">
        <v>7559</v>
      </c>
      <c r="K1533" s="2" t="s">
        <v>10099</v>
      </c>
      <c r="P1533" s="7" t="s">
        <v>1241</v>
      </c>
      <c r="AV1533" s="1" t="s">
        <v>38</v>
      </c>
      <c r="BG1533" s="7" t="s">
        <v>1242</v>
      </c>
    </row>
    <row r="1534" spans="1:59" ht="288" x14ac:dyDescent="0.45">
      <c r="A1534" s="5">
        <v>1533</v>
      </c>
      <c r="B1534" s="2" t="s">
        <v>10780</v>
      </c>
      <c r="C1534" s="2"/>
      <c r="E1534" s="1"/>
      <c r="F1534" s="1"/>
      <c r="G1534" s="1"/>
      <c r="J1534" s="1" t="s">
        <v>7559</v>
      </c>
      <c r="K1534" s="2" t="s">
        <v>10100</v>
      </c>
      <c r="P1534" s="7" t="s">
        <v>1241</v>
      </c>
      <c r="AV1534" s="1" t="s">
        <v>38</v>
      </c>
      <c r="BG1534" s="7" t="s">
        <v>1242</v>
      </c>
    </row>
    <row r="1535" spans="1:59" ht="252" x14ac:dyDescent="0.45">
      <c r="A1535" s="5">
        <v>1534</v>
      </c>
      <c r="B1535" s="2" t="s">
        <v>10781</v>
      </c>
      <c r="C1535" s="2"/>
      <c r="E1535" s="1"/>
      <c r="F1535" s="1"/>
      <c r="G1535" s="1"/>
      <c r="J1535" s="1" t="s">
        <v>7559</v>
      </c>
      <c r="K1535" s="2" t="s">
        <v>10101</v>
      </c>
      <c r="P1535" s="7" t="s">
        <v>1241</v>
      </c>
      <c r="AV1535" s="1" t="s">
        <v>38</v>
      </c>
      <c r="BG1535" s="7" t="s">
        <v>1242</v>
      </c>
    </row>
    <row r="1536" spans="1:59" ht="198" x14ac:dyDescent="0.45">
      <c r="A1536" s="5">
        <v>1535</v>
      </c>
      <c r="B1536" s="2" t="s">
        <v>10782</v>
      </c>
      <c r="C1536" s="2"/>
      <c r="E1536" s="1"/>
      <c r="F1536" s="1"/>
      <c r="G1536" s="1"/>
      <c r="J1536" s="1" t="s">
        <v>7559</v>
      </c>
      <c r="K1536" s="11" t="s">
        <v>11793</v>
      </c>
      <c r="P1536" s="7" t="s">
        <v>1241</v>
      </c>
      <c r="AV1536" s="1" t="s">
        <v>38</v>
      </c>
      <c r="BG1536" s="7" t="s">
        <v>1242</v>
      </c>
    </row>
    <row r="1537" spans="1:59" ht="234" x14ac:dyDescent="0.45">
      <c r="A1537" s="5">
        <v>1536</v>
      </c>
      <c r="B1537" s="2" t="s">
        <v>10783</v>
      </c>
      <c r="C1537" s="2"/>
      <c r="E1537" s="1"/>
      <c r="F1537" s="1"/>
      <c r="G1537" s="1"/>
      <c r="J1537" s="1" t="s">
        <v>7559</v>
      </c>
      <c r="K1537" s="2" t="s">
        <v>10102</v>
      </c>
      <c r="P1537" s="7" t="s">
        <v>1241</v>
      </c>
      <c r="AV1537" s="1" t="s">
        <v>38</v>
      </c>
      <c r="BG1537" s="7" t="s">
        <v>1242</v>
      </c>
    </row>
    <row r="1538" spans="1:59" ht="234" x14ac:dyDescent="0.45">
      <c r="A1538" s="5">
        <v>1537</v>
      </c>
      <c r="B1538" s="2" t="s">
        <v>10784</v>
      </c>
      <c r="C1538" s="2"/>
      <c r="E1538" s="1"/>
      <c r="F1538" s="1"/>
      <c r="G1538" s="1"/>
      <c r="J1538" s="1" t="s">
        <v>7559</v>
      </c>
      <c r="K1538" s="2" t="s">
        <v>10103</v>
      </c>
      <c r="P1538" s="7" t="s">
        <v>1241</v>
      </c>
      <c r="AV1538" s="1" t="s">
        <v>38</v>
      </c>
      <c r="BG1538" s="7" t="s">
        <v>1242</v>
      </c>
    </row>
    <row r="1539" spans="1:59" ht="216" x14ac:dyDescent="0.45">
      <c r="A1539" s="5">
        <v>1538</v>
      </c>
      <c r="B1539" s="2" t="s">
        <v>10785</v>
      </c>
      <c r="C1539" s="2"/>
      <c r="E1539" s="1"/>
      <c r="F1539" s="1"/>
      <c r="G1539" s="1"/>
      <c r="J1539" s="1" t="s">
        <v>7559</v>
      </c>
      <c r="K1539" s="2" t="s">
        <v>10104</v>
      </c>
      <c r="P1539" s="7" t="s">
        <v>1241</v>
      </c>
      <c r="AV1539" s="1" t="s">
        <v>38</v>
      </c>
      <c r="BG1539" s="7" t="s">
        <v>1242</v>
      </c>
    </row>
    <row r="1540" spans="1:59" ht="324" x14ac:dyDescent="0.45">
      <c r="A1540" s="5">
        <v>1539</v>
      </c>
      <c r="B1540" s="2" t="s">
        <v>10786</v>
      </c>
      <c r="C1540" s="2"/>
      <c r="E1540" s="1"/>
      <c r="F1540" s="1"/>
      <c r="G1540" s="1"/>
      <c r="J1540" s="1" t="s">
        <v>7559</v>
      </c>
      <c r="K1540" s="2" t="s">
        <v>10105</v>
      </c>
      <c r="P1540" s="7" t="s">
        <v>1241</v>
      </c>
      <c r="AV1540" s="1" t="s">
        <v>38</v>
      </c>
      <c r="BG1540" s="7" t="s">
        <v>1242</v>
      </c>
    </row>
    <row r="1541" spans="1:59" ht="198" x14ac:dyDescent="0.45">
      <c r="A1541" s="5">
        <v>1540</v>
      </c>
      <c r="B1541" s="2" t="s">
        <v>10787</v>
      </c>
      <c r="C1541" s="2"/>
      <c r="E1541" s="1"/>
      <c r="F1541" s="1"/>
      <c r="G1541" s="1"/>
      <c r="J1541" s="1" t="s">
        <v>7559</v>
      </c>
      <c r="K1541" s="2" t="s">
        <v>10106</v>
      </c>
      <c r="P1541" s="7" t="s">
        <v>1241</v>
      </c>
      <c r="AV1541" s="1" t="s">
        <v>38</v>
      </c>
      <c r="BG1541" s="7" t="s">
        <v>1242</v>
      </c>
    </row>
    <row r="1542" spans="1:59" ht="288" x14ac:dyDescent="0.45">
      <c r="A1542" s="5">
        <v>1541</v>
      </c>
      <c r="B1542" s="2" t="s">
        <v>10788</v>
      </c>
      <c r="C1542" s="2"/>
      <c r="E1542" s="1"/>
      <c r="F1542" s="1"/>
      <c r="G1542" s="1"/>
      <c r="J1542" s="1" t="s">
        <v>7559</v>
      </c>
      <c r="K1542" s="2" t="s">
        <v>10306</v>
      </c>
      <c r="P1542" s="7" t="s">
        <v>1241</v>
      </c>
      <c r="AV1542" s="1" t="s">
        <v>38</v>
      </c>
      <c r="BG1542" s="7" t="s">
        <v>1242</v>
      </c>
    </row>
    <row r="1543" spans="1:59" ht="162" x14ac:dyDescent="0.45">
      <c r="A1543" s="5">
        <v>1542</v>
      </c>
      <c r="B1543" s="2" t="s">
        <v>10789</v>
      </c>
      <c r="C1543" s="2"/>
      <c r="E1543" s="1"/>
      <c r="F1543" s="1"/>
      <c r="G1543" s="1"/>
      <c r="J1543" s="1" t="s">
        <v>7559</v>
      </c>
      <c r="K1543" s="2" t="s">
        <v>10107</v>
      </c>
      <c r="P1543" s="7" t="s">
        <v>1241</v>
      </c>
      <c r="AV1543" s="1" t="s">
        <v>38</v>
      </c>
      <c r="BG1543" s="7" t="s">
        <v>1242</v>
      </c>
    </row>
    <row r="1544" spans="1:59" ht="108" x14ac:dyDescent="0.45">
      <c r="A1544" s="5">
        <v>1543</v>
      </c>
      <c r="B1544" s="2" t="s">
        <v>10790</v>
      </c>
      <c r="C1544" s="2"/>
      <c r="E1544" s="1"/>
      <c r="F1544" s="1"/>
      <c r="G1544" s="1"/>
      <c r="J1544" s="1" t="s">
        <v>7559</v>
      </c>
      <c r="K1544" s="2" t="s">
        <v>10108</v>
      </c>
      <c r="P1544" s="7" t="s">
        <v>1241</v>
      </c>
      <c r="AV1544" s="1" t="s">
        <v>38</v>
      </c>
      <c r="BG1544" s="7" t="s">
        <v>1242</v>
      </c>
    </row>
    <row r="1545" spans="1:59" ht="216" x14ac:dyDescent="0.45">
      <c r="A1545" s="5">
        <v>1544</v>
      </c>
      <c r="B1545" s="2" t="s">
        <v>10791</v>
      </c>
      <c r="C1545" s="2"/>
      <c r="E1545" s="1"/>
      <c r="F1545" s="1"/>
      <c r="G1545" s="1"/>
      <c r="J1545" s="1" t="s">
        <v>7559</v>
      </c>
      <c r="K1545" s="2" t="s">
        <v>10109</v>
      </c>
      <c r="P1545" s="7" t="s">
        <v>1241</v>
      </c>
      <c r="AV1545" s="1" t="s">
        <v>38</v>
      </c>
      <c r="BG1545" s="7" t="s">
        <v>1242</v>
      </c>
    </row>
    <row r="1546" spans="1:59" ht="216" x14ac:dyDescent="0.45">
      <c r="A1546" s="5">
        <v>1545</v>
      </c>
      <c r="B1546" s="2" t="s">
        <v>10792</v>
      </c>
      <c r="C1546" s="2"/>
      <c r="E1546" s="1"/>
      <c r="F1546" s="1"/>
      <c r="G1546" s="1"/>
      <c r="J1546" s="1" t="s">
        <v>7559</v>
      </c>
      <c r="K1546" s="2" t="s">
        <v>11673</v>
      </c>
      <c r="P1546" s="7" t="s">
        <v>1241</v>
      </c>
      <c r="AV1546" s="1" t="s">
        <v>38</v>
      </c>
      <c r="BG1546" s="7" t="s">
        <v>1242</v>
      </c>
    </row>
    <row r="1547" spans="1:59" ht="342" x14ac:dyDescent="0.45">
      <c r="A1547" s="5">
        <v>1546</v>
      </c>
      <c r="B1547" s="2" t="s">
        <v>10793</v>
      </c>
      <c r="C1547" s="2"/>
      <c r="E1547" s="1"/>
      <c r="F1547" s="1"/>
      <c r="G1547" s="1"/>
      <c r="J1547" s="1" t="s">
        <v>7559</v>
      </c>
      <c r="K1547" s="2" t="s">
        <v>11779</v>
      </c>
      <c r="P1547" s="7" t="s">
        <v>1241</v>
      </c>
      <c r="AV1547" s="1" t="s">
        <v>38</v>
      </c>
      <c r="BG1547" s="7" t="s">
        <v>1242</v>
      </c>
    </row>
    <row r="1548" spans="1:59" ht="234" x14ac:dyDescent="0.45">
      <c r="A1548" s="5">
        <v>1547</v>
      </c>
      <c r="B1548" s="2" t="s">
        <v>10794</v>
      </c>
      <c r="C1548" s="2"/>
      <c r="E1548" s="1"/>
      <c r="F1548" s="1"/>
      <c r="G1548" s="1"/>
      <c r="J1548" s="1" t="s">
        <v>7559</v>
      </c>
      <c r="K1548" s="2" t="s">
        <v>10386</v>
      </c>
      <c r="P1548" s="7" t="s">
        <v>1241</v>
      </c>
      <c r="AV1548" s="1" t="s">
        <v>38</v>
      </c>
      <c r="BG1548" s="7" t="s">
        <v>1242</v>
      </c>
    </row>
    <row r="1549" spans="1:59" ht="216" x14ac:dyDescent="0.45">
      <c r="A1549" s="5">
        <v>1548</v>
      </c>
      <c r="B1549" s="6" t="s">
        <v>10795</v>
      </c>
      <c r="C1549" s="6"/>
      <c r="E1549" s="1"/>
      <c r="F1549" s="1"/>
      <c r="G1549" s="1"/>
      <c r="J1549" s="1" t="s">
        <v>7559</v>
      </c>
      <c r="K1549" s="2" t="s">
        <v>10110</v>
      </c>
      <c r="P1549" s="7" t="s">
        <v>1241</v>
      </c>
      <c r="AV1549" s="1" t="s">
        <v>38</v>
      </c>
      <c r="BG1549" s="7" t="s">
        <v>1242</v>
      </c>
    </row>
    <row r="1550" spans="1:59" ht="198" x14ac:dyDescent="0.45">
      <c r="A1550" s="5">
        <v>1549</v>
      </c>
      <c r="B1550" s="2" t="s">
        <v>10796</v>
      </c>
      <c r="C1550" s="2"/>
      <c r="E1550" s="1"/>
      <c r="F1550" s="1"/>
      <c r="G1550" s="1"/>
      <c r="J1550" s="1" t="s">
        <v>7559</v>
      </c>
      <c r="K1550" s="2" t="s">
        <v>10111</v>
      </c>
      <c r="P1550" s="7" t="s">
        <v>1241</v>
      </c>
      <c r="AV1550" s="1" t="s">
        <v>38</v>
      </c>
      <c r="BG1550" s="7" t="s">
        <v>1242</v>
      </c>
    </row>
    <row r="1551" spans="1:59" ht="288" x14ac:dyDescent="0.45">
      <c r="A1551" s="5">
        <v>1550</v>
      </c>
      <c r="B1551" s="2" t="s">
        <v>10797</v>
      </c>
      <c r="C1551" s="2"/>
      <c r="E1551" s="1"/>
      <c r="F1551" s="1"/>
      <c r="G1551" s="1"/>
      <c r="J1551" s="1" t="s">
        <v>7559</v>
      </c>
      <c r="K1551" s="2" t="s">
        <v>10112</v>
      </c>
      <c r="P1551" s="7" t="s">
        <v>1241</v>
      </c>
      <c r="AV1551" s="1" t="s">
        <v>38</v>
      </c>
      <c r="BG1551" s="7" t="s">
        <v>1242</v>
      </c>
    </row>
    <row r="1552" spans="1:59" ht="162" x14ac:dyDescent="0.45">
      <c r="A1552" s="5">
        <v>1551</v>
      </c>
      <c r="B1552" s="2" t="s">
        <v>10798</v>
      </c>
      <c r="C1552" s="2"/>
      <c r="E1552" s="1"/>
      <c r="F1552" s="1"/>
      <c r="G1552" s="1"/>
      <c r="J1552" s="1" t="s">
        <v>7559</v>
      </c>
      <c r="K1552" s="2" t="s">
        <v>10113</v>
      </c>
      <c r="P1552" s="7" t="s">
        <v>1241</v>
      </c>
      <c r="AV1552" s="1" t="s">
        <v>38</v>
      </c>
      <c r="BG1552" s="7" t="s">
        <v>1242</v>
      </c>
    </row>
    <row r="1553" spans="1:59" ht="216" x14ac:dyDescent="0.45">
      <c r="A1553" s="5">
        <v>1552</v>
      </c>
      <c r="B1553" s="2" t="s">
        <v>10799</v>
      </c>
      <c r="C1553" s="2"/>
      <c r="E1553" s="1"/>
      <c r="F1553" s="1"/>
      <c r="G1553" s="1"/>
      <c r="J1553" s="1" t="s">
        <v>7559</v>
      </c>
      <c r="K1553" s="2" t="s">
        <v>10114</v>
      </c>
      <c r="P1553" s="7" t="s">
        <v>1241</v>
      </c>
      <c r="AV1553" s="1" t="s">
        <v>38</v>
      </c>
      <c r="BG1553" s="7" t="s">
        <v>1242</v>
      </c>
    </row>
    <row r="1554" spans="1:59" ht="198" x14ac:dyDescent="0.45">
      <c r="A1554" s="5">
        <v>1553</v>
      </c>
      <c r="B1554" s="2" t="s">
        <v>10800</v>
      </c>
      <c r="C1554" s="2"/>
      <c r="E1554" s="1"/>
      <c r="F1554" s="1"/>
      <c r="G1554" s="1"/>
      <c r="J1554" s="1" t="s">
        <v>7559</v>
      </c>
      <c r="K1554" s="2" t="s">
        <v>10115</v>
      </c>
      <c r="P1554" s="7" t="s">
        <v>1241</v>
      </c>
      <c r="AV1554" s="1" t="s">
        <v>38</v>
      </c>
      <c r="BG1554" s="7" t="s">
        <v>1242</v>
      </c>
    </row>
    <row r="1555" spans="1:59" ht="108" x14ac:dyDescent="0.45">
      <c r="A1555" s="5">
        <v>1554</v>
      </c>
      <c r="B1555" s="2" t="s">
        <v>10801</v>
      </c>
      <c r="C1555" s="2"/>
      <c r="E1555" s="1"/>
      <c r="F1555" s="1"/>
      <c r="G1555" s="1"/>
      <c r="J1555" s="1" t="s">
        <v>7559</v>
      </c>
      <c r="K1555" s="2" t="s">
        <v>10116</v>
      </c>
      <c r="P1555" s="7" t="s">
        <v>1241</v>
      </c>
      <c r="AV1555" s="1" t="s">
        <v>38</v>
      </c>
      <c r="BG1555" s="7" t="s">
        <v>1242</v>
      </c>
    </row>
    <row r="1556" spans="1:59" ht="216" x14ac:dyDescent="0.45">
      <c r="A1556" s="5">
        <v>1555</v>
      </c>
      <c r="B1556" s="2" t="s">
        <v>10802</v>
      </c>
      <c r="C1556" s="2"/>
      <c r="E1556" s="1"/>
      <c r="F1556" s="1"/>
      <c r="G1556" s="1"/>
      <c r="J1556" s="1" t="s">
        <v>7559</v>
      </c>
      <c r="K1556" s="2" t="s">
        <v>10117</v>
      </c>
      <c r="P1556" s="7" t="s">
        <v>1241</v>
      </c>
      <c r="AV1556" s="1" t="s">
        <v>38</v>
      </c>
      <c r="BG1556" s="7" t="s">
        <v>1242</v>
      </c>
    </row>
    <row r="1557" spans="1:59" ht="288" x14ac:dyDescent="0.45">
      <c r="A1557" s="5">
        <v>1556</v>
      </c>
      <c r="B1557" s="2" t="s">
        <v>10803</v>
      </c>
      <c r="C1557" s="2"/>
      <c r="E1557" s="1"/>
      <c r="F1557" s="1"/>
      <c r="G1557" s="1"/>
      <c r="J1557" s="1" t="s">
        <v>7559</v>
      </c>
      <c r="K1557" s="2" t="s">
        <v>10118</v>
      </c>
      <c r="P1557" s="7" t="s">
        <v>1241</v>
      </c>
      <c r="AV1557" s="1" t="s">
        <v>38</v>
      </c>
      <c r="BG1557" s="7" t="s">
        <v>1242</v>
      </c>
    </row>
    <row r="1558" spans="1:59" ht="198" x14ac:dyDescent="0.45">
      <c r="A1558" s="5">
        <v>1557</v>
      </c>
      <c r="B1558" s="2" t="s">
        <v>10804</v>
      </c>
      <c r="C1558" s="2"/>
      <c r="E1558" s="1"/>
      <c r="F1558" s="1"/>
      <c r="G1558" s="1"/>
      <c r="J1558" s="1" t="s">
        <v>7559</v>
      </c>
      <c r="K1558" s="2" t="s">
        <v>10119</v>
      </c>
      <c r="P1558" s="7" t="s">
        <v>1241</v>
      </c>
      <c r="AV1558" s="1" t="s">
        <v>38</v>
      </c>
      <c r="BG1558" s="7" t="s">
        <v>1242</v>
      </c>
    </row>
    <row r="1559" spans="1:59" ht="144" x14ac:dyDescent="0.45">
      <c r="A1559" s="5">
        <v>1558</v>
      </c>
      <c r="B1559" s="2" t="s">
        <v>10805</v>
      </c>
      <c r="C1559" s="2"/>
      <c r="E1559" s="1"/>
      <c r="F1559" s="1"/>
      <c r="G1559" s="1"/>
      <c r="J1559" s="1" t="s">
        <v>7559</v>
      </c>
      <c r="K1559" s="11" t="s">
        <v>11794</v>
      </c>
      <c r="P1559" s="7" t="s">
        <v>1241</v>
      </c>
      <c r="AV1559" s="1" t="s">
        <v>38</v>
      </c>
      <c r="BG1559" s="7" t="s">
        <v>1242</v>
      </c>
    </row>
    <row r="1560" spans="1:59" ht="108" x14ac:dyDescent="0.45">
      <c r="A1560" s="5">
        <v>1559</v>
      </c>
      <c r="B1560" s="2" t="s">
        <v>10806</v>
      </c>
      <c r="C1560" s="2"/>
      <c r="E1560" s="1"/>
      <c r="F1560" s="1"/>
      <c r="G1560" s="1"/>
      <c r="J1560" s="1" t="s">
        <v>7559</v>
      </c>
      <c r="K1560" s="2" t="s">
        <v>10120</v>
      </c>
      <c r="P1560" s="7" t="s">
        <v>1241</v>
      </c>
      <c r="AV1560" s="1" t="s">
        <v>38</v>
      </c>
      <c r="BG1560" s="7" t="s">
        <v>1242</v>
      </c>
    </row>
    <row r="1561" spans="1:59" ht="378" x14ac:dyDescent="0.45">
      <c r="A1561" s="5">
        <v>1560</v>
      </c>
      <c r="B1561" s="2" t="s">
        <v>10807</v>
      </c>
      <c r="C1561" s="2"/>
      <c r="E1561" s="1"/>
      <c r="F1561" s="1"/>
      <c r="G1561" s="1"/>
      <c r="J1561" s="1" t="s">
        <v>7559</v>
      </c>
      <c r="K1561" s="11" t="s">
        <v>11795</v>
      </c>
      <c r="P1561" s="7" t="s">
        <v>1241</v>
      </c>
      <c r="AV1561" s="1" t="s">
        <v>38</v>
      </c>
      <c r="BG1561" s="7" t="s">
        <v>1242</v>
      </c>
    </row>
    <row r="1562" spans="1:59" ht="409.6" x14ac:dyDescent="0.45">
      <c r="A1562" s="5">
        <v>1561</v>
      </c>
      <c r="B1562" s="2" t="s">
        <v>10808</v>
      </c>
      <c r="C1562" s="2"/>
      <c r="E1562" s="1"/>
      <c r="F1562" s="1"/>
      <c r="G1562" s="1"/>
      <c r="J1562" s="1" t="s">
        <v>7559</v>
      </c>
      <c r="K1562" s="2" t="s">
        <v>10146</v>
      </c>
      <c r="P1562" s="7" t="s">
        <v>1241</v>
      </c>
      <c r="AV1562" s="1" t="s">
        <v>38</v>
      </c>
      <c r="BG1562" s="7" t="s">
        <v>1242</v>
      </c>
    </row>
    <row r="1563" spans="1:59" ht="180" x14ac:dyDescent="0.45">
      <c r="A1563" s="5">
        <v>1562</v>
      </c>
      <c r="B1563" s="2" t="s">
        <v>10809</v>
      </c>
      <c r="C1563" s="2"/>
      <c r="E1563" s="1"/>
      <c r="F1563" s="1"/>
      <c r="G1563" s="1"/>
      <c r="J1563" s="1" t="s">
        <v>7559</v>
      </c>
      <c r="K1563" s="2" t="s">
        <v>10121</v>
      </c>
      <c r="P1563" s="7" t="s">
        <v>1241</v>
      </c>
      <c r="AV1563" s="1" t="s">
        <v>38</v>
      </c>
      <c r="BG1563" s="7" t="s">
        <v>1242</v>
      </c>
    </row>
    <row r="1564" spans="1:59" ht="108" x14ac:dyDescent="0.45">
      <c r="A1564" s="5">
        <v>1563</v>
      </c>
      <c r="B1564" s="2" t="s">
        <v>10810</v>
      </c>
      <c r="C1564" s="2"/>
      <c r="E1564" s="1"/>
      <c r="F1564" s="1"/>
      <c r="G1564" s="1"/>
      <c r="J1564" s="1" t="s">
        <v>7559</v>
      </c>
      <c r="K1564" s="2" t="s">
        <v>10122</v>
      </c>
      <c r="P1564" s="7" t="s">
        <v>1241</v>
      </c>
      <c r="AV1564" s="1" t="s">
        <v>38</v>
      </c>
      <c r="BG1564" s="7" t="s">
        <v>1242</v>
      </c>
    </row>
    <row r="1565" spans="1:59" ht="288" x14ac:dyDescent="0.45">
      <c r="A1565" s="5">
        <v>1564</v>
      </c>
      <c r="B1565" s="6" t="s">
        <v>10811</v>
      </c>
      <c r="C1565" s="6"/>
      <c r="E1565" s="1"/>
      <c r="F1565" s="1"/>
      <c r="G1565" s="1"/>
      <c r="J1565" s="1" t="s">
        <v>7559</v>
      </c>
      <c r="K1565" s="2" t="s">
        <v>10123</v>
      </c>
      <c r="P1565" s="7" t="s">
        <v>1241</v>
      </c>
      <c r="AV1565" s="1" t="s">
        <v>38</v>
      </c>
      <c r="BG1565" s="7" t="s">
        <v>1242</v>
      </c>
    </row>
    <row r="1566" spans="1:59" ht="126" x14ac:dyDescent="0.45">
      <c r="A1566" s="5">
        <v>1565</v>
      </c>
      <c r="B1566" s="2" t="s">
        <v>10812</v>
      </c>
      <c r="C1566" s="2"/>
      <c r="E1566" s="1"/>
      <c r="F1566" s="1"/>
      <c r="G1566" s="1"/>
      <c r="J1566" s="1" t="s">
        <v>7559</v>
      </c>
      <c r="K1566" s="2" t="s">
        <v>10124</v>
      </c>
      <c r="P1566" s="7" t="s">
        <v>1241</v>
      </c>
      <c r="AV1566" s="1" t="s">
        <v>38</v>
      </c>
      <c r="BG1566" s="7" t="s">
        <v>1242</v>
      </c>
    </row>
    <row r="1567" spans="1:59" ht="324" x14ac:dyDescent="0.45">
      <c r="A1567" s="5">
        <v>1566</v>
      </c>
      <c r="B1567" s="2" t="s">
        <v>10813</v>
      </c>
      <c r="C1567" s="2"/>
      <c r="E1567" s="1"/>
      <c r="F1567" s="1"/>
      <c r="G1567" s="1"/>
      <c r="J1567" s="1" t="s">
        <v>7559</v>
      </c>
      <c r="K1567" s="2" t="s">
        <v>10125</v>
      </c>
      <c r="P1567" s="7" t="s">
        <v>1241</v>
      </c>
      <c r="AV1567" s="1" t="s">
        <v>38</v>
      </c>
      <c r="BG1567" s="7" t="s">
        <v>1242</v>
      </c>
    </row>
    <row r="1568" spans="1:59" ht="108" x14ac:dyDescent="0.45">
      <c r="A1568" s="5">
        <v>1567</v>
      </c>
      <c r="B1568" s="2" t="s">
        <v>10814</v>
      </c>
      <c r="C1568" s="2"/>
      <c r="E1568" s="1"/>
      <c r="F1568" s="1"/>
      <c r="G1568" s="1"/>
      <c r="J1568" s="1" t="s">
        <v>7559</v>
      </c>
      <c r="K1568" s="2" t="s">
        <v>10126</v>
      </c>
      <c r="P1568" s="7" t="s">
        <v>1241</v>
      </c>
      <c r="AV1568" s="1" t="s">
        <v>38</v>
      </c>
      <c r="BG1568" s="7" t="s">
        <v>1242</v>
      </c>
    </row>
    <row r="1569" spans="1:59" ht="144" x14ac:dyDescent="0.45">
      <c r="A1569" s="5">
        <v>1568</v>
      </c>
      <c r="B1569" s="2" t="s">
        <v>10815</v>
      </c>
      <c r="C1569" s="2"/>
      <c r="E1569" s="1"/>
      <c r="F1569" s="1"/>
      <c r="G1569" s="1"/>
      <c r="J1569" s="1" t="s">
        <v>7559</v>
      </c>
      <c r="K1569" s="2" t="s">
        <v>10127</v>
      </c>
      <c r="P1569" s="7" t="s">
        <v>1241</v>
      </c>
      <c r="AV1569" s="1" t="s">
        <v>38</v>
      </c>
      <c r="BG1569" s="7" t="s">
        <v>1242</v>
      </c>
    </row>
    <row r="1570" spans="1:59" ht="108" x14ac:dyDescent="0.45">
      <c r="A1570" s="5">
        <v>1569</v>
      </c>
      <c r="B1570" s="2" t="s">
        <v>10816</v>
      </c>
      <c r="C1570" s="2"/>
      <c r="E1570" s="1"/>
      <c r="F1570" s="1"/>
      <c r="G1570" s="1"/>
      <c r="J1570" s="1" t="s">
        <v>7559</v>
      </c>
      <c r="K1570" s="2" t="s">
        <v>10128</v>
      </c>
      <c r="P1570" s="7" t="s">
        <v>1241</v>
      </c>
      <c r="AV1570" s="1" t="s">
        <v>38</v>
      </c>
      <c r="BG1570" s="7" t="s">
        <v>1242</v>
      </c>
    </row>
    <row r="1571" spans="1:59" ht="324" x14ac:dyDescent="0.45">
      <c r="A1571" s="5">
        <v>1570</v>
      </c>
      <c r="B1571" s="2" t="s">
        <v>10817</v>
      </c>
      <c r="C1571" s="2"/>
      <c r="E1571" s="1"/>
      <c r="F1571" s="1"/>
      <c r="G1571" s="1"/>
      <c r="J1571" s="1" t="s">
        <v>7559</v>
      </c>
      <c r="K1571" s="2" t="s">
        <v>10129</v>
      </c>
      <c r="P1571" s="7" t="s">
        <v>1241</v>
      </c>
      <c r="AV1571" s="1" t="s">
        <v>38</v>
      </c>
      <c r="BG1571" s="7" t="s">
        <v>1242</v>
      </c>
    </row>
    <row r="1572" spans="1:59" ht="126" x14ac:dyDescent="0.45">
      <c r="A1572" s="5">
        <v>1571</v>
      </c>
      <c r="B1572" s="2" t="s">
        <v>10818</v>
      </c>
      <c r="C1572" s="2"/>
      <c r="E1572" s="1"/>
      <c r="F1572" s="1"/>
      <c r="G1572" s="1"/>
      <c r="J1572" s="1" t="s">
        <v>7559</v>
      </c>
      <c r="K1572" s="2" t="s">
        <v>10130</v>
      </c>
      <c r="P1572" s="7" t="s">
        <v>1241</v>
      </c>
      <c r="AV1572" s="1" t="s">
        <v>38</v>
      </c>
      <c r="BG1572" s="7" t="s">
        <v>1242</v>
      </c>
    </row>
    <row r="1573" spans="1:59" ht="342" x14ac:dyDescent="0.45">
      <c r="A1573" s="5">
        <v>1572</v>
      </c>
      <c r="B1573" s="2" t="s">
        <v>10819</v>
      </c>
      <c r="C1573" s="2"/>
      <c r="E1573" s="1"/>
      <c r="F1573" s="1"/>
      <c r="G1573" s="1"/>
      <c r="J1573" s="1" t="s">
        <v>7559</v>
      </c>
      <c r="K1573" s="11" t="s">
        <v>11796</v>
      </c>
      <c r="P1573" s="7" t="s">
        <v>1241</v>
      </c>
      <c r="AV1573" s="1" t="s">
        <v>38</v>
      </c>
      <c r="BG1573" s="7" t="s">
        <v>1242</v>
      </c>
    </row>
    <row r="1574" spans="1:59" ht="306" x14ac:dyDescent="0.45">
      <c r="A1574" s="5">
        <v>1573</v>
      </c>
      <c r="B1574" s="6" t="s">
        <v>10820</v>
      </c>
      <c r="C1574" s="6"/>
      <c r="E1574" s="1"/>
      <c r="F1574" s="1"/>
      <c r="G1574" s="1"/>
      <c r="J1574" s="1" t="s">
        <v>7559</v>
      </c>
      <c r="K1574" s="11" t="s">
        <v>11797</v>
      </c>
      <c r="P1574" s="7" t="s">
        <v>1241</v>
      </c>
      <c r="AV1574" s="1" t="s">
        <v>38</v>
      </c>
      <c r="BG1574" s="7" t="s">
        <v>1242</v>
      </c>
    </row>
    <row r="1575" spans="1:59" ht="324" x14ac:dyDescent="0.45">
      <c r="A1575" s="5">
        <v>1574</v>
      </c>
      <c r="B1575" s="2" t="s">
        <v>10821</v>
      </c>
      <c r="C1575" s="2"/>
      <c r="E1575" s="1"/>
      <c r="F1575" s="1"/>
      <c r="G1575" s="1"/>
      <c r="J1575" s="1" t="s">
        <v>7559</v>
      </c>
      <c r="K1575" s="11" t="s">
        <v>11798</v>
      </c>
      <c r="P1575" s="7" t="s">
        <v>1241</v>
      </c>
      <c r="AV1575" s="1" t="s">
        <v>38</v>
      </c>
      <c r="BG1575" s="7" t="s">
        <v>1242</v>
      </c>
    </row>
    <row r="1576" spans="1:59" ht="108" x14ac:dyDescent="0.45">
      <c r="A1576" s="5">
        <v>1575</v>
      </c>
      <c r="B1576" s="2" t="s">
        <v>10822</v>
      </c>
      <c r="C1576" s="2"/>
      <c r="E1576" s="1"/>
      <c r="F1576" s="1"/>
      <c r="G1576" s="1"/>
      <c r="J1576" s="1" t="s">
        <v>7559</v>
      </c>
      <c r="K1576" s="2" t="s">
        <v>10131</v>
      </c>
      <c r="P1576" s="7" t="s">
        <v>1241</v>
      </c>
      <c r="AV1576" s="1" t="s">
        <v>38</v>
      </c>
      <c r="BG1576" s="7" t="s">
        <v>1242</v>
      </c>
    </row>
    <row r="1577" spans="1:59" ht="252" x14ac:dyDescent="0.45">
      <c r="A1577" s="5">
        <v>1576</v>
      </c>
      <c r="B1577" s="2" t="s">
        <v>10823</v>
      </c>
      <c r="C1577" s="2"/>
      <c r="E1577" s="1"/>
      <c r="F1577" s="1"/>
      <c r="G1577" s="1"/>
      <c r="J1577" s="1" t="s">
        <v>7559</v>
      </c>
      <c r="K1577" s="2" t="s">
        <v>10132</v>
      </c>
      <c r="P1577" s="7" t="s">
        <v>1241</v>
      </c>
      <c r="AV1577" s="1" t="s">
        <v>38</v>
      </c>
      <c r="BG1577" s="7" t="s">
        <v>1242</v>
      </c>
    </row>
    <row r="1578" spans="1:59" ht="360" x14ac:dyDescent="0.45">
      <c r="A1578" s="5">
        <v>1577</v>
      </c>
      <c r="B1578" s="2" t="s">
        <v>10824</v>
      </c>
      <c r="C1578" s="2"/>
      <c r="E1578" s="1"/>
      <c r="F1578" s="1"/>
      <c r="G1578" s="1"/>
      <c r="J1578" s="1" t="s">
        <v>7559</v>
      </c>
      <c r="K1578" s="11" t="s">
        <v>11799</v>
      </c>
      <c r="P1578" s="7" t="s">
        <v>1241</v>
      </c>
      <c r="AV1578" s="1" t="s">
        <v>38</v>
      </c>
      <c r="BG1578" s="7" t="s">
        <v>1242</v>
      </c>
    </row>
    <row r="1579" spans="1:59" ht="108" x14ac:dyDescent="0.45">
      <c r="A1579" s="5">
        <v>1578</v>
      </c>
      <c r="B1579" s="2" t="s">
        <v>10825</v>
      </c>
      <c r="C1579" s="2"/>
      <c r="E1579" s="1"/>
      <c r="F1579" s="1"/>
      <c r="G1579" s="1"/>
      <c r="J1579" s="1" t="s">
        <v>7559</v>
      </c>
      <c r="K1579" s="2" t="s">
        <v>10133</v>
      </c>
      <c r="P1579" s="7" t="s">
        <v>1241</v>
      </c>
      <c r="AV1579" s="1" t="s">
        <v>38</v>
      </c>
      <c r="BG1579" s="7" t="s">
        <v>1242</v>
      </c>
    </row>
    <row r="1580" spans="1:59" ht="126" x14ac:dyDescent="0.45">
      <c r="A1580" s="5">
        <v>1579</v>
      </c>
      <c r="B1580" s="2" t="s">
        <v>10826</v>
      </c>
      <c r="C1580" s="2"/>
      <c r="E1580" s="1"/>
      <c r="F1580" s="1"/>
      <c r="G1580" s="1"/>
      <c r="J1580" s="1" t="s">
        <v>7559</v>
      </c>
      <c r="K1580" s="2" t="s">
        <v>10134</v>
      </c>
      <c r="P1580" s="7" t="s">
        <v>1241</v>
      </c>
      <c r="AV1580" s="1" t="s">
        <v>38</v>
      </c>
      <c r="BG1580" s="7" t="s">
        <v>1242</v>
      </c>
    </row>
    <row r="1581" spans="1:59" ht="126" x14ac:dyDescent="0.45">
      <c r="A1581" s="5">
        <v>1580</v>
      </c>
      <c r="B1581" s="6" t="s">
        <v>10827</v>
      </c>
      <c r="C1581" s="6"/>
      <c r="E1581" s="1"/>
      <c r="F1581" s="1"/>
      <c r="G1581" s="1"/>
      <c r="J1581" s="1" t="s">
        <v>7559</v>
      </c>
      <c r="K1581" s="2" t="s">
        <v>10135</v>
      </c>
      <c r="P1581" s="7" t="s">
        <v>1241</v>
      </c>
      <c r="AV1581" s="1" t="s">
        <v>38</v>
      </c>
      <c r="BG1581" s="7" t="s">
        <v>1242</v>
      </c>
    </row>
    <row r="1582" spans="1:59" ht="324" x14ac:dyDescent="0.45">
      <c r="A1582" s="5">
        <v>1581</v>
      </c>
      <c r="B1582" s="2" t="s">
        <v>10828</v>
      </c>
      <c r="C1582" s="2"/>
      <c r="E1582" s="1"/>
      <c r="F1582" s="1"/>
      <c r="G1582" s="1"/>
      <c r="J1582" s="1" t="s">
        <v>7559</v>
      </c>
      <c r="K1582" s="2" t="s">
        <v>10136</v>
      </c>
      <c r="P1582" s="7" t="s">
        <v>1241</v>
      </c>
      <c r="AV1582" s="1" t="s">
        <v>38</v>
      </c>
      <c r="BG1582" s="7" t="s">
        <v>1242</v>
      </c>
    </row>
    <row r="1583" spans="1:59" ht="180" x14ac:dyDescent="0.45">
      <c r="A1583" s="5">
        <v>1582</v>
      </c>
      <c r="B1583" s="6" t="s">
        <v>10829</v>
      </c>
      <c r="C1583" s="6"/>
      <c r="E1583" s="1"/>
      <c r="F1583" s="1"/>
      <c r="G1583" s="1"/>
      <c r="J1583" s="1" t="s">
        <v>7559</v>
      </c>
      <c r="K1583" s="2" t="s">
        <v>10137</v>
      </c>
      <c r="P1583" s="7" t="s">
        <v>1241</v>
      </c>
      <c r="AV1583" s="1" t="s">
        <v>38</v>
      </c>
      <c r="BG1583" s="7" t="s">
        <v>1242</v>
      </c>
    </row>
    <row r="1584" spans="1:59" ht="126" x14ac:dyDescent="0.45">
      <c r="A1584" s="5">
        <v>1583</v>
      </c>
      <c r="B1584" s="6" t="s">
        <v>10830</v>
      </c>
      <c r="C1584" s="6"/>
      <c r="E1584" s="1"/>
      <c r="F1584" s="1"/>
      <c r="G1584" s="1"/>
      <c r="J1584" s="1" t="s">
        <v>7559</v>
      </c>
      <c r="K1584" s="2" t="s">
        <v>10138</v>
      </c>
      <c r="P1584" s="7" t="s">
        <v>1241</v>
      </c>
      <c r="AV1584" s="1" t="s">
        <v>38</v>
      </c>
      <c r="BG1584" s="7" t="s">
        <v>1242</v>
      </c>
    </row>
    <row r="1585" spans="1:59" ht="234" x14ac:dyDescent="0.45">
      <c r="A1585" s="5">
        <v>1584</v>
      </c>
      <c r="B1585" s="1" t="s">
        <v>10831</v>
      </c>
      <c r="C1585" s="6"/>
      <c r="E1585" s="1"/>
      <c r="F1585" s="1"/>
      <c r="G1585" s="1"/>
      <c r="J1585" s="1" t="s">
        <v>7559</v>
      </c>
      <c r="K1585" s="2" t="s">
        <v>10139</v>
      </c>
      <c r="P1585" s="7" t="s">
        <v>1241</v>
      </c>
      <c r="AV1585" s="1" t="s">
        <v>38</v>
      </c>
      <c r="BG1585" s="7" t="s">
        <v>1242</v>
      </c>
    </row>
    <row r="1586" spans="1:59" ht="126" x14ac:dyDescent="0.45">
      <c r="A1586" s="5">
        <v>1585</v>
      </c>
      <c r="B1586" s="1" t="s">
        <v>10832</v>
      </c>
      <c r="C1586" s="6"/>
      <c r="E1586" s="1"/>
      <c r="F1586" s="1"/>
      <c r="G1586" s="1"/>
      <c r="J1586" s="1" t="s">
        <v>7559</v>
      </c>
      <c r="K1586" s="2" t="s">
        <v>10327</v>
      </c>
      <c r="P1586" s="7" t="s">
        <v>1241</v>
      </c>
      <c r="AV1586" s="1" t="s">
        <v>38</v>
      </c>
      <c r="BG1586" s="7" t="s">
        <v>1242</v>
      </c>
    </row>
    <row r="1587" spans="1:59" ht="108" x14ac:dyDescent="0.45">
      <c r="A1587" s="5">
        <v>1586</v>
      </c>
      <c r="B1587" s="1" t="s">
        <v>10833</v>
      </c>
      <c r="C1587" s="6"/>
      <c r="E1587" s="1"/>
      <c r="F1587" s="1"/>
      <c r="G1587" s="1"/>
      <c r="J1587" s="1" t="s">
        <v>7559</v>
      </c>
      <c r="K1587" s="2" t="s">
        <v>10141</v>
      </c>
      <c r="P1587" s="7" t="s">
        <v>1241</v>
      </c>
      <c r="AV1587" s="1" t="s">
        <v>38</v>
      </c>
      <c r="BG1587" s="7" t="s">
        <v>1242</v>
      </c>
    </row>
    <row r="1588" spans="1:59" ht="126" x14ac:dyDescent="0.45">
      <c r="A1588" s="5">
        <v>1587</v>
      </c>
      <c r="B1588" s="1" t="s">
        <v>10834</v>
      </c>
      <c r="C1588" s="6"/>
      <c r="E1588" s="1"/>
      <c r="F1588" s="1"/>
      <c r="G1588" s="1"/>
      <c r="J1588" s="1" t="s">
        <v>7559</v>
      </c>
      <c r="K1588" s="2" t="s">
        <v>10140</v>
      </c>
      <c r="P1588" s="7" t="s">
        <v>1241</v>
      </c>
      <c r="AV1588" s="1" t="s">
        <v>38</v>
      </c>
      <c r="BG1588" s="7" t="s">
        <v>1242</v>
      </c>
    </row>
    <row r="1589" spans="1:59" ht="216" x14ac:dyDescent="0.45">
      <c r="A1589" s="5">
        <v>1588</v>
      </c>
      <c r="B1589" s="1" t="s">
        <v>10835</v>
      </c>
      <c r="C1589" s="6"/>
      <c r="E1589" s="1"/>
      <c r="F1589" s="1"/>
      <c r="G1589" s="1"/>
      <c r="J1589" s="1" t="s">
        <v>7559</v>
      </c>
      <c r="K1589" s="2" t="s">
        <v>10142</v>
      </c>
      <c r="P1589" s="7" t="s">
        <v>1241</v>
      </c>
      <c r="AV1589" s="1" t="s">
        <v>38</v>
      </c>
      <c r="BG1589" s="7" t="s">
        <v>1242</v>
      </c>
    </row>
    <row r="1590" spans="1:59" ht="342" x14ac:dyDescent="0.45">
      <c r="A1590" s="5">
        <v>1589</v>
      </c>
      <c r="B1590" s="1" t="s">
        <v>10836</v>
      </c>
      <c r="C1590" s="6"/>
      <c r="E1590" s="1"/>
      <c r="F1590" s="1"/>
      <c r="G1590" s="1"/>
      <c r="J1590" s="1" t="s">
        <v>7559</v>
      </c>
      <c r="K1590" s="2" t="s">
        <v>10143</v>
      </c>
      <c r="P1590" s="7" t="s">
        <v>1241</v>
      </c>
      <c r="AV1590" s="1" t="s">
        <v>38</v>
      </c>
      <c r="BG1590" s="7" t="s">
        <v>1242</v>
      </c>
    </row>
    <row r="1591" spans="1:59" ht="378" x14ac:dyDescent="0.45">
      <c r="A1591" s="5">
        <v>1590</v>
      </c>
      <c r="B1591" s="1" t="s">
        <v>10837</v>
      </c>
      <c r="C1591" s="6"/>
      <c r="E1591" s="1"/>
      <c r="F1591" s="1"/>
      <c r="G1591" s="1"/>
      <c r="J1591" s="1" t="s">
        <v>7559</v>
      </c>
      <c r="K1591" s="2" t="s">
        <v>10354</v>
      </c>
      <c r="P1591" s="7" t="s">
        <v>1241</v>
      </c>
      <c r="AV1591" s="1" t="s">
        <v>38</v>
      </c>
      <c r="BG1591" s="7" t="s">
        <v>1242</v>
      </c>
    </row>
    <row r="1592" spans="1:59" ht="180" x14ac:dyDescent="0.45">
      <c r="A1592" s="5">
        <v>1591</v>
      </c>
      <c r="B1592" s="1" t="s">
        <v>10838</v>
      </c>
      <c r="C1592" s="6"/>
      <c r="E1592" s="1"/>
      <c r="F1592" s="1"/>
      <c r="G1592" s="1"/>
      <c r="J1592" s="1" t="s">
        <v>7559</v>
      </c>
      <c r="K1592" s="2" t="s">
        <v>10147</v>
      </c>
      <c r="P1592" s="7" t="s">
        <v>1241</v>
      </c>
      <c r="AV1592" s="1" t="s">
        <v>38</v>
      </c>
      <c r="BG1592" s="7" t="s">
        <v>1242</v>
      </c>
    </row>
    <row r="1593" spans="1:59" ht="108" x14ac:dyDescent="0.45">
      <c r="A1593" s="5">
        <v>1592</v>
      </c>
      <c r="B1593" s="1" t="s">
        <v>10839</v>
      </c>
      <c r="C1593" s="6"/>
      <c r="E1593" s="1"/>
      <c r="F1593" s="1"/>
      <c r="G1593" s="1"/>
      <c r="J1593" s="1" t="s">
        <v>7559</v>
      </c>
      <c r="K1593" s="2" t="s">
        <v>10148</v>
      </c>
      <c r="P1593" s="7" t="s">
        <v>1241</v>
      </c>
      <c r="AV1593" s="1" t="s">
        <v>38</v>
      </c>
      <c r="BG1593" s="7" t="s">
        <v>1242</v>
      </c>
    </row>
    <row r="1594" spans="1:59" ht="324" x14ac:dyDescent="0.45">
      <c r="A1594" s="5">
        <v>1593</v>
      </c>
      <c r="B1594" s="1" t="s">
        <v>10840</v>
      </c>
      <c r="C1594" s="6"/>
      <c r="E1594" s="1"/>
      <c r="F1594" s="1"/>
      <c r="G1594" s="1"/>
      <c r="J1594" s="1" t="s">
        <v>7559</v>
      </c>
      <c r="K1594" s="2" t="s">
        <v>10307</v>
      </c>
      <c r="P1594" s="7" t="s">
        <v>1241</v>
      </c>
      <c r="AV1594" s="1" t="s">
        <v>38</v>
      </c>
      <c r="BG1594" s="7" t="s">
        <v>1242</v>
      </c>
    </row>
    <row r="1595" spans="1:59" ht="108" x14ac:dyDescent="0.45">
      <c r="A1595" s="5">
        <v>1594</v>
      </c>
      <c r="B1595" s="1" t="s">
        <v>10841</v>
      </c>
      <c r="C1595" s="6"/>
      <c r="E1595" s="1"/>
      <c r="F1595" s="1"/>
      <c r="G1595" s="1"/>
      <c r="J1595" s="1" t="s">
        <v>7559</v>
      </c>
      <c r="K1595" s="2" t="s">
        <v>10149</v>
      </c>
      <c r="P1595" s="7" t="s">
        <v>1241</v>
      </c>
      <c r="AV1595" s="1" t="s">
        <v>38</v>
      </c>
      <c r="BG1595" s="7" t="s">
        <v>1242</v>
      </c>
    </row>
    <row r="1596" spans="1:59" ht="108" x14ac:dyDescent="0.45">
      <c r="A1596" s="5">
        <v>1595</v>
      </c>
      <c r="B1596" s="1" t="s">
        <v>10842</v>
      </c>
      <c r="C1596" s="6"/>
      <c r="E1596" s="1"/>
      <c r="F1596" s="1"/>
      <c r="G1596" s="1"/>
      <c r="J1596" s="1" t="s">
        <v>7559</v>
      </c>
      <c r="K1596" s="2" t="s">
        <v>10150</v>
      </c>
      <c r="P1596" s="7" t="s">
        <v>1241</v>
      </c>
      <c r="AV1596" s="1" t="s">
        <v>38</v>
      </c>
      <c r="BG1596" s="7" t="s">
        <v>1242</v>
      </c>
    </row>
    <row r="1597" spans="1:59" ht="108" x14ac:dyDescent="0.45">
      <c r="A1597" s="5">
        <v>1596</v>
      </c>
      <c r="B1597" s="1" t="s">
        <v>10843</v>
      </c>
      <c r="C1597" s="6"/>
      <c r="E1597" s="1"/>
      <c r="F1597" s="1"/>
      <c r="G1597" s="1"/>
      <c r="J1597" s="1" t="s">
        <v>7559</v>
      </c>
      <c r="K1597" s="2" t="s">
        <v>10151</v>
      </c>
      <c r="P1597" s="7" t="s">
        <v>1241</v>
      </c>
      <c r="AV1597" s="1" t="s">
        <v>38</v>
      </c>
      <c r="BG1597" s="7" t="s">
        <v>1242</v>
      </c>
    </row>
    <row r="1598" spans="1:59" ht="126" x14ac:dyDescent="0.45">
      <c r="A1598" s="5">
        <v>1597</v>
      </c>
      <c r="B1598" s="1" t="s">
        <v>10844</v>
      </c>
      <c r="C1598" s="6"/>
      <c r="E1598" s="1"/>
      <c r="F1598" s="1"/>
      <c r="G1598" s="1"/>
      <c r="J1598" s="1" t="s">
        <v>7559</v>
      </c>
      <c r="K1598" s="2" t="s">
        <v>10152</v>
      </c>
      <c r="P1598" s="7" t="s">
        <v>1241</v>
      </c>
      <c r="AV1598" s="1" t="s">
        <v>38</v>
      </c>
      <c r="BG1598" s="7" t="s">
        <v>1242</v>
      </c>
    </row>
    <row r="1599" spans="1:59" ht="108" x14ac:dyDescent="0.45">
      <c r="A1599" s="5">
        <v>1598</v>
      </c>
      <c r="B1599" s="1" t="s">
        <v>10845</v>
      </c>
      <c r="C1599" s="6"/>
      <c r="E1599" s="1"/>
      <c r="F1599" s="1"/>
      <c r="G1599" s="1"/>
      <c r="J1599" s="1" t="s">
        <v>7559</v>
      </c>
      <c r="K1599" s="2" t="s">
        <v>10153</v>
      </c>
      <c r="P1599" s="7" t="s">
        <v>1241</v>
      </c>
      <c r="AV1599" s="1" t="s">
        <v>38</v>
      </c>
      <c r="BG1599" s="7" t="s">
        <v>1242</v>
      </c>
    </row>
    <row r="1600" spans="1:59" ht="126" x14ac:dyDescent="0.45">
      <c r="A1600" s="5">
        <v>1599</v>
      </c>
      <c r="B1600" s="1" t="s">
        <v>10846</v>
      </c>
      <c r="C1600" s="6"/>
      <c r="E1600" s="1"/>
      <c r="F1600" s="1"/>
      <c r="G1600" s="1"/>
      <c r="J1600" s="1" t="s">
        <v>7559</v>
      </c>
      <c r="K1600" s="2" t="s">
        <v>10154</v>
      </c>
      <c r="P1600" s="7" t="s">
        <v>1241</v>
      </c>
      <c r="AV1600" s="1" t="s">
        <v>38</v>
      </c>
      <c r="BG1600" s="7" t="s">
        <v>1242</v>
      </c>
    </row>
    <row r="1601" spans="1:59" ht="306" x14ac:dyDescent="0.45">
      <c r="A1601" s="5">
        <v>1600</v>
      </c>
      <c r="B1601" s="1" t="s">
        <v>10847</v>
      </c>
      <c r="C1601" s="6"/>
      <c r="E1601" s="1"/>
      <c r="F1601" s="1"/>
      <c r="G1601" s="1"/>
      <c r="J1601" s="1" t="s">
        <v>7559</v>
      </c>
      <c r="K1601" s="2" t="s">
        <v>10328</v>
      </c>
      <c r="P1601" s="7" t="s">
        <v>1241</v>
      </c>
      <c r="AV1601" s="1" t="s">
        <v>38</v>
      </c>
      <c r="BG1601" s="7" t="s">
        <v>1242</v>
      </c>
    </row>
    <row r="1602" spans="1:59" ht="126" x14ac:dyDescent="0.45">
      <c r="A1602" s="5">
        <v>1601</v>
      </c>
      <c r="B1602" s="1" t="s">
        <v>10848</v>
      </c>
      <c r="C1602" s="6"/>
      <c r="E1602" s="1"/>
      <c r="F1602" s="1"/>
      <c r="G1602" s="1"/>
      <c r="J1602" s="1" t="s">
        <v>7559</v>
      </c>
      <c r="K1602" s="2" t="s">
        <v>10329</v>
      </c>
      <c r="P1602" s="7" t="s">
        <v>1241</v>
      </c>
      <c r="AV1602" s="1" t="s">
        <v>38</v>
      </c>
      <c r="BG1602" s="7" t="s">
        <v>1242</v>
      </c>
    </row>
    <row r="1603" spans="1:59" ht="198" x14ac:dyDescent="0.45">
      <c r="A1603" s="5">
        <v>1602</v>
      </c>
      <c r="B1603" s="1" t="s">
        <v>10849</v>
      </c>
      <c r="C1603" s="6"/>
      <c r="E1603" s="1"/>
      <c r="F1603" s="1"/>
      <c r="G1603" s="1"/>
      <c r="J1603" s="1" t="s">
        <v>7559</v>
      </c>
      <c r="K1603" s="2" t="s">
        <v>10155</v>
      </c>
      <c r="P1603" s="7" t="s">
        <v>1241</v>
      </c>
      <c r="AV1603" s="1" t="s">
        <v>38</v>
      </c>
      <c r="BG1603" s="7" t="s">
        <v>1242</v>
      </c>
    </row>
    <row r="1604" spans="1:59" ht="108" x14ac:dyDescent="0.45">
      <c r="A1604" s="5">
        <v>1603</v>
      </c>
      <c r="B1604" s="1" t="s">
        <v>10850</v>
      </c>
      <c r="C1604" s="6"/>
      <c r="E1604" s="1"/>
      <c r="F1604" s="1"/>
      <c r="G1604" s="1"/>
      <c r="J1604" s="1" t="s">
        <v>7559</v>
      </c>
      <c r="K1604" s="2" t="s">
        <v>10851</v>
      </c>
      <c r="P1604" s="7" t="s">
        <v>1241</v>
      </c>
      <c r="AV1604" s="1" t="s">
        <v>38</v>
      </c>
      <c r="BG1604" s="7" t="s">
        <v>1242</v>
      </c>
    </row>
    <row r="1605" spans="1:59" ht="180" x14ac:dyDescent="0.45">
      <c r="A1605" s="5">
        <v>1604</v>
      </c>
      <c r="B1605" s="1" t="s">
        <v>10852</v>
      </c>
      <c r="C1605" s="6"/>
      <c r="E1605" s="1"/>
      <c r="F1605" s="1"/>
      <c r="G1605" s="1"/>
      <c r="J1605" s="1" t="s">
        <v>7559</v>
      </c>
      <c r="K1605" s="2" t="s">
        <v>10853</v>
      </c>
      <c r="P1605" s="7" t="s">
        <v>1241</v>
      </c>
      <c r="AV1605" s="1" t="s">
        <v>38</v>
      </c>
      <c r="BG1605" s="7" t="s">
        <v>1242</v>
      </c>
    </row>
    <row r="1606" spans="1:59" ht="144" x14ac:dyDescent="0.45">
      <c r="A1606" s="5">
        <v>1605</v>
      </c>
      <c r="B1606" s="1" t="s">
        <v>10854</v>
      </c>
      <c r="C1606" s="6"/>
      <c r="E1606" s="1"/>
      <c r="F1606" s="1"/>
      <c r="G1606" s="1"/>
      <c r="J1606" s="1" t="s">
        <v>7559</v>
      </c>
      <c r="K1606" s="2" t="s">
        <v>10156</v>
      </c>
      <c r="P1606" s="7" t="s">
        <v>1241</v>
      </c>
      <c r="AV1606" s="1" t="s">
        <v>38</v>
      </c>
      <c r="BG1606" s="7" t="s">
        <v>1242</v>
      </c>
    </row>
    <row r="1607" spans="1:59" ht="409.6" x14ac:dyDescent="0.45">
      <c r="A1607" s="5">
        <v>1606</v>
      </c>
      <c r="B1607" s="1" t="s">
        <v>10855</v>
      </c>
      <c r="C1607" s="6"/>
      <c r="E1607" s="1"/>
      <c r="F1607" s="1"/>
      <c r="G1607" s="1"/>
      <c r="J1607" s="1" t="s">
        <v>7559</v>
      </c>
      <c r="K1607" s="2" t="s">
        <v>10562</v>
      </c>
      <c r="P1607" s="7" t="s">
        <v>1241</v>
      </c>
      <c r="AV1607" s="1" t="s">
        <v>38</v>
      </c>
      <c r="BG1607" s="7" t="s">
        <v>1242</v>
      </c>
    </row>
    <row r="1608" spans="1:59" ht="409.6" x14ac:dyDescent="0.45">
      <c r="A1608" s="5">
        <v>1607</v>
      </c>
      <c r="B1608" s="1" t="s">
        <v>10158</v>
      </c>
      <c r="C1608" s="6"/>
      <c r="E1608" s="1"/>
      <c r="F1608" s="1"/>
      <c r="G1608" s="1"/>
      <c r="J1608" s="1" t="s">
        <v>7559</v>
      </c>
      <c r="K1608" s="2" t="s">
        <v>10157</v>
      </c>
      <c r="P1608" s="7" t="s">
        <v>1241</v>
      </c>
      <c r="AV1608" s="1" t="s">
        <v>38</v>
      </c>
      <c r="BG1608" s="7" t="s">
        <v>1242</v>
      </c>
    </row>
    <row r="1609" spans="1:59" ht="162" x14ac:dyDescent="0.45">
      <c r="A1609" s="5">
        <v>1608</v>
      </c>
      <c r="B1609" s="1" t="s">
        <v>10160</v>
      </c>
      <c r="C1609" s="6"/>
      <c r="E1609" s="1"/>
      <c r="F1609" s="1"/>
      <c r="G1609" s="1"/>
      <c r="J1609" s="1" t="s">
        <v>7559</v>
      </c>
      <c r="K1609" s="2" t="s">
        <v>10159</v>
      </c>
      <c r="P1609" s="7" t="s">
        <v>1241</v>
      </c>
      <c r="AV1609" s="1" t="s">
        <v>38</v>
      </c>
      <c r="BG1609" s="7" t="s">
        <v>1242</v>
      </c>
    </row>
    <row r="1610" spans="1:59" ht="409.6" x14ac:dyDescent="0.45">
      <c r="A1610" s="5">
        <v>1609</v>
      </c>
      <c r="B1610" s="1" t="s">
        <v>10161</v>
      </c>
      <c r="C1610" s="6"/>
      <c r="E1610" s="1"/>
      <c r="F1610" s="1"/>
      <c r="G1610" s="1"/>
      <c r="J1610" s="1" t="s">
        <v>7559</v>
      </c>
      <c r="K1610" s="11" t="s">
        <v>11800</v>
      </c>
      <c r="P1610" s="7" t="s">
        <v>1241</v>
      </c>
      <c r="AV1610" s="1" t="s">
        <v>38</v>
      </c>
      <c r="BG1610" s="7" t="s">
        <v>1242</v>
      </c>
    </row>
    <row r="1611" spans="1:59" ht="108" x14ac:dyDescent="0.45">
      <c r="A1611" s="5">
        <v>1610</v>
      </c>
      <c r="B1611" s="1" t="s">
        <v>10163</v>
      </c>
      <c r="C1611" s="6"/>
      <c r="E1611" s="1"/>
      <c r="F1611" s="1"/>
      <c r="G1611" s="1"/>
      <c r="J1611" s="1" t="s">
        <v>7559</v>
      </c>
      <c r="K1611" s="2" t="s">
        <v>10162</v>
      </c>
      <c r="P1611" s="7" t="s">
        <v>1241</v>
      </c>
      <c r="AV1611" s="1" t="s">
        <v>38</v>
      </c>
      <c r="BG1611" s="7" t="s">
        <v>1242</v>
      </c>
    </row>
    <row r="1612" spans="1:59" ht="216" x14ac:dyDescent="0.45">
      <c r="A1612" s="5">
        <v>1611</v>
      </c>
      <c r="B1612" s="1" t="s">
        <v>10164</v>
      </c>
      <c r="C1612" s="6"/>
      <c r="E1612" s="1"/>
      <c r="F1612" s="1"/>
      <c r="G1612" s="1"/>
      <c r="J1612" s="1" t="s">
        <v>7559</v>
      </c>
      <c r="K1612" s="11" t="s">
        <v>11801</v>
      </c>
      <c r="P1612" s="7" t="s">
        <v>1241</v>
      </c>
      <c r="AV1612" s="1" t="s">
        <v>38</v>
      </c>
      <c r="BG1612" s="7" t="s">
        <v>1242</v>
      </c>
    </row>
    <row r="1613" spans="1:59" ht="288" x14ac:dyDescent="0.45">
      <c r="A1613" s="5">
        <v>1612</v>
      </c>
      <c r="B1613" s="1" t="s">
        <v>10166</v>
      </c>
      <c r="C1613" s="6"/>
      <c r="E1613" s="1"/>
      <c r="F1613" s="1"/>
      <c r="G1613" s="1"/>
      <c r="J1613" s="1" t="s">
        <v>7559</v>
      </c>
      <c r="K1613" s="2" t="s">
        <v>10165</v>
      </c>
      <c r="P1613" s="7" t="s">
        <v>1241</v>
      </c>
      <c r="AV1613" s="1" t="s">
        <v>38</v>
      </c>
      <c r="BG1613" s="7" t="s">
        <v>1242</v>
      </c>
    </row>
    <row r="1614" spans="1:59" ht="216" x14ac:dyDescent="0.45">
      <c r="A1614" s="5">
        <v>1613</v>
      </c>
      <c r="B1614" s="1" t="s">
        <v>10168</v>
      </c>
      <c r="C1614" s="6"/>
      <c r="E1614" s="1"/>
      <c r="F1614" s="1"/>
      <c r="G1614" s="1"/>
      <c r="J1614" s="1" t="s">
        <v>7559</v>
      </c>
      <c r="K1614" s="2" t="s">
        <v>10167</v>
      </c>
      <c r="P1614" s="7" t="s">
        <v>1241</v>
      </c>
      <c r="AV1614" s="1" t="s">
        <v>38</v>
      </c>
      <c r="BG1614" s="7" t="s">
        <v>1242</v>
      </c>
    </row>
    <row r="1615" spans="1:59" ht="270" x14ac:dyDescent="0.45">
      <c r="A1615" s="5">
        <v>1614</v>
      </c>
      <c r="B1615" s="1" t="s">
        <v>10170</v>
      </c>
      <c r="C1615" s="6"/>
      <c r="E1615" s="1"/>
      <c r="F1615" s="1"/>
      <c r="G1615" s="1"/>
      <c r="J1615" s="1" t="s">
        <v>7559</v>
      </c>
      <c r="K1615" s="2" t="s">
        <v>10169</v>
      </c>
      <c r="P1615" s="7" t="s">
        <v>1241</v>
      </c>
      <c r="AV1615" s="1" t="s">
        <v>38</v>
      </c>
      <c r="BG1615" s="7" t="s">
        <v>1242</v>
      </c>
    </row>
    <row r="1616" spans="1:59" ht="306" x14ac:dyDescent="0.45">
      <c r="A1616" s="5">
        <v>1615</v>
      </c>
      <c r="B1616" s="1" t="s">
        <v>10172</v>
      </c>
      <c r="C1616" s="6"/>
      <c r="E1616" s="1"/>
      <c r="F1616" s="1"/>
      <c r="G1616" s="1"/>
      <c r="J1616" s="1" t="s">
        <v>7559</v>
      </c>
      <c r="K1616" s="2" t="s">
        <v>10171</v>
      </c>
      <c r="P1616" s="7" t="s">
        <v>1241</v>
      </c>
      <c r="AV1616" s="1" t="s">
        <v>38</v>
      </c>
      <c r="BG1616" s="7" t="s">
        <v>1242</v>
      </c>
    </row>
    <row r="1617" spans="1:59" ht="90" x14ac:dyDescent="0.45">
      <c r="A1617" s="5">
        <v>1616</v>
      </c>
      <c r="B1617" s="1" t="s">
        <v>10174</v>
      </c>
      <c r="C1617" s="6"/>
      <c r="E1617" s="1"/>
      <c r="F1617" s="1"/>
      <c r="G1617" s="1"/>
      <c r="J1617" s="1" t="s">
        <v>7559</v>
      </c>
      <c r="K1617" s="2" t="s">
        <v>10173</v>
      </c>
      <c r="P1617" s="7" t="s">
        <v>1241</v>
      </c>
      <c r="AV1617" s="1" t="s">
        <v>38</v>
      </c>
      <c r="BG1617" s="7" t="s">
        <v>1242</v>
      </c>
    </row>
    <row r="1618" spans="1:59" ht="162" x14ac:dyDescent="0.45">
      <c r="A1618" s="5">
        <v>1617</v>
      </c>
      <c r="B1618" s="1" t="s">
        <v>10176</v>
      </c>
      <c r="C1618" s="6"/>
      <c r="E1618" s="1"/>
      <c r="F1618" s="1"/>
      <c r="G1618" s="1"/>
      <c r="J1618" s="1" t="s">
        <v>7559</v>
      </c>
      <c r="K1618" s="2" t="s">
        <v>10175</v>
      </c>
      <c r="P1618" s="7" t="s">
        <v>1241</v>
      </c>
      <c r="AV1618" s="1" t="s">
        <v>38</v>
      </c>
      <c r="BG1618" s="7" t="s">
        <v>1242</v>
      </c>
    </row>
    <row r="1619" spans="1:59" ht="144" x14ac:dyDescent="0.45">
      <c r="A1619" s="5">
        <v>1618</v>
      </c>
      <c r="B1619" s="1" t="s">
        <v>10178</v>
      </c>
      <c r="C1619" s="6"/>
      <c r="E1619" s="1"/>
      <c r="F1619" s="1"/>
      <c r="G1619" s="1"/>
      <c r="J1619" s="1" t="s">
        <v>7559</v>
      </c>
      <c r="K1619" s="2" t="s">
        <v>10177</v>
      </c>
      <c r="P1619" s="7" t="s">
        <v>1241</v>
      </c>
      <c r="AV1619" s="1" t="s">
        <v>38</v>
      </c>
      <c r="BG1619" s="7" t="s">
        <v>1242</v>
      </c>
    </row>
    <row r="1620" spans="1:59" ht="234" x14ac:dyDescent="0.45">
      <c r="A1620" s="5">
        <v>1619</v>
      </c>
      <c r="B1620" s="1" t="s">
        <v>10179</v>
      </c>
      <c r="C1620" s="6"/>
      <c r="E1620" s="1"/>
      <c r="F1620" s="1"/>
      <c r="G1620" s="1"/>
      <c r="J1620" s="1" t="s">
        <v>7559</v>
      </c>
      <c r="K1620" s="2" t="s">
        <v>10330</v>
      </c>
      <c r="P1620" s="7" t="s">
        <v>1241</v>
      </c>
      <c r="AV1620" s="1" t="s">
        <v>38</v>
      </c>
      <c r="BG1620" s="7" t="s">
        <v>1242</v>
      </c>
    </row>
    <row r="1621" spans="1:59" ht="378" x14ac:dyDescent="0.45">
      <c r="A1621" s="5">
        <v>1620</v>
      </c>
      <c r="B1621" s="1" t="s">
        <v>10181</v>
      </c>
      <c r="C1621" s="6"/>
      <c r="E1621" s="1"/>
      <c r="F1621" s="1"/>
      <c r="G1621" s="1"/>
      <c r="J1621" s="1" t="s">
        <v>7559</v>
      </c>
      <c r="K1621" s="2" t="s">
        <v>10180</v>
      </c>
      <c r="P1621" s="7" t="s">
        <v>1241</v>
      </c>
      <c r="AV1621" s="1" t="s">
        <v>38</v>
      </c>
      <c r="BG1621" s="7" t="s">
        <v>1242</v>
      </c>
    </row>
    <row r="1622" spans="1:59" ht="144" x14ac:dyDescent="0.45">
      <c r="A1622" s="5">
        <v>1621</v>
      </c>
      <c r="B1622" s="1" t="s">
        <v>10183</v>
      </c>
      <c r="C1622" s="6"/>
      <c r="E1622" s="1"/>
      <c r="F1622" s="1"/>
      <c r="G1622" s="1"/>
      <c r="J1622" s="1" t="s">
        <v>7559</v>
      </c>
      <c r="K1622" s="2" t="s">
        <v>10182</v>
      </c>
      <c r="P1622" s="7" t="s">
        <v>1241</v>
      </c>
      <c r="AV1622" s="1" t="s">
        <v>38</v>
      </c>
      <c r="BG1622" s="7" t="s">
        <v>1242</v>
      </c>
    </row>
    <row r="1623" spans="1:59" ht="72" x14ac:dyDescent="0.45">
      <c r="A1623" s="5">
        <v>1622</v>
      </c>
      <c r="B1623" s="1" t="s">
        <v>10856</v>
      </c>
      <c r="C1623" s="6"/>
      <c r="E1623" s="1"/>
      <c r="F1623" s="1"/>
      <c r="G1623" s="1"/>
      <c r="J1623" s="1" t="s">
        <v>7559</v>
      </c>
      <c r="K1623" s="2" t="s">
        <v>10184</v>
      </c>
      <c r="P1623" s="7" t="s">
        <v>1241</v>
      </c>
      <c r="AV1623" s="1" t="s">
        <v>38</v>
      </c>
      <c r="BG1623" s="7" t="s">
        <v>1242</v>
      </c>
    </row>
    <row r="1624" spans="1:59" ht="72" x14ac:dyDescent="0.45">
      <c r="A1624" s="5">
        <v>1623</v>
      </c>
      <c r="B1624" s="1" t="s">
        <v>10186</v>
      </c>
      <c r="C1624" s="6"/>
      <c r="E1624" s="1"/>
      <c r="F1624" s="1"/>
      <c r="G1624" s="1"/>
      <c r="J1624" s="1" t="s">
        <v>7559</v>
      </c>
      <c r="K1624" s="2" t="s">
        <v>10185</v>
      </c>
      <c r="P1624" s="7" t="s">
        <v>1241</v>
      </c>
      <c r="AV1624" s="1" t="s">
        <v>38</v>
      </c>
      <c r="BG1624" s="7" t="s">
        <v>1242</v>
      </c>
    </row>
    <row r="1625" spans="1:59" ht="108" x14ac:dyDescent="0.45">
      <c r="A1625" s="5">
        <v>1624</v>
      </c>
      <c r="B1625" s="1" t="s">
        <v>10188</v>
      </c>
      <c r="C1625" s="6"/>
      <c r="E1625" s="1"/>
      <c r="F1625" s="1"/>
      <c r="G1625" s="1"/>
      <c r="J1625" s="1" t="s">
        <v>7559</v>
      </c>
      <c r="K1625" s="2" t="s">
        <v>10187</v>
      </c>
      <c r="P1625" s="7" t="s">
        <v>1241</v>
      </c>
      <c r="AV1625" s="1" t="s">
        <v>38</v>
      </c>
      <c r="BG1625" s="7" t="s">
        <v>1242</v>
      </c>
    </row>
    <row r="1626" spans="1:59" ht="144" x14ac:dyDescent="0.45">
      <c r="A1626" s="5">
        <v>1625</v>
      </c>
      <c r="B1626" s="1" t="s">
        <v>10190</v>
      </c>
      <c r="C1626" s="6"/>
      <c r="E1626" s="1"/>
      <c r="F1626" s="1"/>
      <c r="G1626" s="1"/>
      <c r="J1626" s="1" t="s">
        <v>7559</v>
      </c>
      <c r="K1626" s="2" t="s">
        <v>10189</v>
      </c>
      <c r="P1626" s="7" t="s">
        <v>1241</v>
      </c>
      <c r="AV1626" s="1" t="s">
        <v>38</v>
      </c>
      <c r="BG1626" s="7" t="s">
        <v>1242</v>
      </c>
    </row>
    <row r="1627" spans="1:59" ht="144" x14ac:dyDescent="0.45">
      <c r="A1627" s="5">
        <v>1626</v>
      </c>
      <c r="B1627" s="1" t="s">
        <v>10192</v>
      </c>
      <c r="C1627" s="6"/>
      <c r="E1627" s="1"/>
      <c r="F1627" s="1"/>
      <c r="G1627" s="1"/>
      <c r="J1627" s="1" t="s">
        <v>7559</v>
      </c>
      <c r="K1627" s="2" t="s">
        <v>10191</v>
      </c>
      <c r="P1627" s="7" t="s">
        <v>1241</v>
      </c>
      <c r="AV1627" s="1" t="s">
        <v>38</v>
      </c>
      <c r="BG1627" s="7" t="s">
        <v>1242</v>
      </c>
    </row>
    <row r="1628" spans="1:59" ht="126" x14ac:dyDescent="0.45">
      <c r="A1628" s="5">
        <v>1627</v>
      </c>
      <c r="B1628" s="1" t="s">
        <v>10194</v>
      </c>
      <c r="C1628" s="6"/>
      <c r="E1628" s="1"/>
      <c r="F1628" s="1"/>
      <c r="G1628" s="1"/>
      <c r="J1628" s="1" t="s">
        <v>7559</v>
      </c>
      <c r="K1628" s="2" t="s">
        <v>10193</v>
      </c>
      <c r="P1628" s="7" t="s">
        <v>1241</v>
      </c>
      <c r="AV1628" s="1" t="s">
        <v>38</v>
      </c>
      <c r="BG1628" s="7" t="s">
        <v>1242</v>
      </c>
    </row>
    <row r="1629" spans="1:59" ht="108" x14ac:dyDescent="0.45">
      <c r="A1629" s="5">
        <v>1628</v>
      </c>
      <c r="B1629" s="1" t="s">
        <v>10196</v>
      </c>
      <c r="C1629" s="6"/>
      <c r="E1629" s="1"/>
      <c r="F1629" s="1"/>
      <c r="G1629" s="1"/>
      <c r="J1629" s="1" t="s">
        <v>7559</v>
      </c>
      <c r="K1629" s="2" t="s">
        <v>10195</v>
      </c>
      <c r="P1629" s="7" t="s">
        <v>1241</v>
      </c>
      <c r="AV1629" s="1" t="s">
        <v>38</v>
      </c>
      <c r="BG1629" s="7" t="s">
        <v>1242</v>
      </c>
    </row>
    <row r="1630" spans="1:59" ht="252" x14ac:dyDescent="0.45">
      <c r="A1630" s="5">
        <v>1629</v>
      </c>
      <c r="B1630" s="1" t="s">
        <v>10198</v>
      </c>
      <c r="C1630" s="6"/>
      <c r="E1630" s="1"/>
      <c r="F1630" s="1"/>
      <c r="G1630" s="1"/>
      <c r="J1630" s="1" t="s">
        <v>7559</v>
      </c>
      <c r="K1630" s="2" t="s">
        <v>10197</v>
      </c>
      <c r="P1630" s="7" t="s">
        <v>1241</v>
      </c>
      <c r="AV1630" s="1" t="s">
        <v>38</v>
      </c>
      <c r="BG1630" s="7" t="s">
        <v>1242</v>
      </c>
    </row>
    <row r="1631" spans="1:59" ht="409.6" x14ac:dyDescent="0.45">
      <c r="A1631" s="5">
        <v>1630</v>
      </c>
      <c r="B1631" s="1" t="s">
        <v>10199</v>
      </c>
      <c r="C1631" s="6"/>
      <c r="E1631" s="1"/>
      <c r="F1631" s="1"/>
      <c r="G1631" s="1"/>
      <c r="J1631" s="1" t="s">
        <v>7559</v>
      </c>
      <c r="K1631" s="11" t="s">
        <v>11802</v>
      </c>
      <c r="P1631" s="7" t="s">
        <v>1241</v>
      </c>
      <c r="AV1631" s="1" t="s">
        <v>38</v>
      </c>
      <c r="BG1631" s="7" t="s">
        <v>1242</v>
      </c>
    </row>
    <row r="1632" spans="1:59" ht="409.6" x14ac:dyDescent="0.45">
      <c r="A1632" s="5">
        <v>1631</v>
      </c>
      <c r="B1632" s="1" t="s">
        <v>10200</v>
      </c>
      <c r="C1632" s="6"/>
      <c r="E1632" s="1"/>
      <c r="F1632" s="1"/>
      <c r="G1632" s="1"/>
      <c r="J1632" s="1" t="s">
        <v>7559</v>
      </c>
      <c r="K1632" s="2" t="s">
        <v>10308</v>
      </c>
      <c r="P1632" s="7" t="s">
        <v>1241</v>
      </c>
      <c r="AV1632" s="1" t="s">
        <v>38</v>
      </c>
      <c r="BG1632" s="7" t="s">
        <v>1242</v>
      </c>
    </row>
    <row r="1633" spans="1:59" ht="252" x14ac:dyDescent="0.45">
      <c r="A1633" s="5">
        <v>1632</v>
      </c>
      <c r="B1633" s="1" t="s">
        <v>10202</v>
      </c>
      <c r="C1633" s="6"/>
      <c r="E1633" s="1"/>
      <c r="F1633" s="1"/>
      <c r="G1633" s="1"/>
      <c r="J1633" s="1" t="s">
        <v>7559</v>
      </c>
      <c r="K1633" s="2" t="s">
        <v>10201</v>
      </c>
      <c r="P1633" s="7" t="s">
        <v>1241</v>
      </c>
      <c r="AV1633" s="1" t="s">
        <v>38</v>
      </c>
      <c r="BG1633" s="7" t="s">
        <v>1242</v>
      </c>
    </row>
    <row r="1634" spans="1:59" ht="216" x14ac:dyDescent="0.45">
      <c r="A1634" s="5">
        <v>1633</v>
      </c>
      <c r="B1634" s="1" t="s">
        <v>10203</v>
      </c>
      <c r="C1634" s="6"/>
      <c r="E1634" s="1"/>
      <c r="F1634" s="1"/>
      <c r="G1634" s="1"/>
      <c r="J1634" s="1" t="s">
        <v>7559</v>
      </c>
      <c r="K1634" s="2" t="s">
        <v>10316</v>
      </c>
      <c r="P1634" s="7" t="s">
        <v>1241</v>
      </c>
      <c r="AV1634" s="1" t="s">
        <v>38</v>
      </c>
      <c r="BG1634" s="7" t="s">
        <v>1242</v>
      </c>
    </row>
    <row r="1635" spans="1:59" ht="126" x14ac:dyDescent="0.45">
      <c r="A1635" s="5">
        <v>1634</v>
      </c>
      <c r="B1635" s="1" t="s">
        <v>10857</v>
      </c>
      <c r="C1635" s="6"/>
      <c r="E1635" s="1"/>
      <c r="F1635" s="1"/>
      <c r="G1635" s="1"/>
      <c r="J1635" s="1" t="s">
        <v>7559</v>
      </c>
      <c r="K1635" s="2" t="s">
        <v>10204</v>
      </c>
      <c r="P1635" s="7" t="s">
        <v>1241</v>
      </c>
      <c r="AV1635" s="1" t="s">
        <v>38</v>
      </c>
      <c r="BG1635" s="7" t="s">
        <v>1242</v>
      </c>
    </row>
    <row r="1636" spans="1:59" ht="126" x14ac:dyDescent="0.45">
      <c r="A1636" s="5">
        <v>1635</v>
      </c>
      <c r="B1636" s="1" t="s">
        <v>10205</v>
      </c>
      <c r="C1636" s="6"/>
      <c r="E1636" s="1"/>
      <c r="F1636" s="1"/>
      <c r="G1636" s="1"/>
      <c r="J1636" s="1" t="s">
        <v>7559</v>
      </c>
      <c r="K1636" s="2" t="s">
        <v>10206</v>
      </c>
      <c r="P1636" s="7" t="s">
        <v>1241</v>
      </c>
      <c r="AV1636" s="1" t="s">
        <v>38</v>
      </c>
      <c r="BG1636" s="7" t="s">
        <v>1242</v>
      </c>
    </row>
    <row r="1637" spans="1:59" ht="54" x14ac:dyDescent="0.45">
      <c r="A1637" s="5">
        <v>1636</v>
      </c>
      <c r="B1637" s="1" t="s">
        <v>10207</v>
      </c>
      <c r="C1637" s="6"/>
      <c r="E1637" s="1"/>
      <c r="F1637" s="1"/>
      <c r="G1637" s="1"/>
      <c r="J1637" s="1" t="s">
        <v>7559</v>
      </c>
      <c r="K1637" s="2" t="s">
        <v>10208</v>
      </c>
      <c r="P1637" s="7" t="s">
        <v>1241</v>
      </c>
      <c r="AV1637" s="1" t="s">
        <v>38</v>
      </c>
      <c r="BG1637" s="7" t="s">
        <v>1242</v>
      </c>
    </row>
    <row r="1638" spans="1:59" ht="90" x14ac:dyDescent="0.45">
      <c r="A1638" s="5">
        <v>1637</v>
      </c>
      <c r="B1638" s="1" t="s">
        <v>10209</v>
      </c>
      <c r="C1638" s="6"/>
      <c r="E1638" s="1"/>
      <c r="F1638" s="1"/>
      <c r="G1638" s="1"/>
      <c r="J1638" s="1" t="s">
        <v>7559</v>
      </c>
      <c r="K1638" s="2" t="s">
        <v>10210</v>
      </c>
      <c r="P1638" s="7" t="s">
        <v>1241</v>
      </c>
      <c r="AV1638" s="1" t="s">
        <v>38</v>
      </c>
      <c r="BG1638" s="7" t="s">
        <v>1242</v>
      </c>
    </row>
    <row r="1639" spans="1:59" ht="306" x14ac:dyDescent="0.45">
      <c r="A1639" s="5">
        <v>1638</v>
      </c>
      <c r="B1639" s="1" t="s">
        <v>10211</v>
      </c>
      <c r="C1639" s="6"/>
      <c r="E1639" s="1"/>
      <c r="F1639" s="1"/>
      <c r="G1639" s="1"/>
      <c r="J1639" s="1" t="s">
        <v>7559</v>
      </c>
      <c r="K1639" s="2" t="s">
        <v>10212</v>
      </c>
      <c r="P1639" s="7" t="s">
        <v>1241</v>
      </c>
      <c r="AV1639" s="1" t="s">
        <v>38</v>
      </c>
      <c r="BG1639" s="7" t="s">
        <v>1242</v>
      </c>
    </row>
    <row r="1640" spans="1:59" ht="396" x14ac:dyDescent="0.45">
      <c r="A1640" s="5">
        <v>1639</v>
      </c>
      <c r="B1640" s="1" t="s">
        <v>10213</v>
      </c>
      <c r="C1640" s="6"/>
      <c r="E1640" s="1"/>
      <c r="F1640" s="1"/>
      <c r="G1640" s="1"/>
      <c r="J1640" s="1" t="s">
        <v>7559</v>
      </c>
      <c r="K1640" s="11" t="s">
        <v>11803</v>
      </c>
      <c r="P1640" s="7" t="s">
        <v>1241</v>
      </c>
      <c r="AV1640" s="1" t="s">
        <v>38</v>
      </c>
      <c r="BG1640" s="7" t="s">
        <v>1242</v>
      </c>
    </row>
    <row r="1641" spans="1:59" ht="144" x14ac:dyDescent="0.45">
      <c r="A1641" s="5">
        <v>1640</v>
      </c>
      <c r="B1641" s="1" t="s">
        <v>10214</v>
      </c>
      <c r="C1641" s="6"/>
      <c r="E1641" s="1"/>
      <c r="F1641" s="1"/>
      <c r="G1641" s="1"/>
      <c r="J1641" s="1" t="s">
        <v>7559</v>
      </c>
      <c r="K1641" s="11" t="s">
        <v>11804</v>
      </c>
      <c r="P1641" s="7" t="s">
        <v>1241</v>
      </c>
      <c r="AV1641" s="1" t="s">
        <v>38</v>
      </c>
      <c r="BG1641" s="7" t="s">
        <v>1242</v>
      </c>
    </row>
    <row r="1642" spans="1:59" ht="252" x14ac:dyDescent="0.45">
      <c r="A1642" s="5">
        <v>1641</v>
      </c>
      <c r="B1642" s="1" t="s">
        <v>10215</v>
      </c>
      <c r="C1642" s="6"/>
      <c r="E1642" s="1"/>
      <c r="F1642" s="1"/>
      <c r="G1642" s="1"/>
      <c r="J1642" s="1" t="s">
        <v>7559</v>
      </c>
      <c r="K1642" s="2" t="s">
        <v>10216</v>
      </c>
      <c r="P1642" s="7" t="s">
        <v>1241</v>
      </c>
      <c r="AV1642" s="1" t="s">
        <v>38</v>
      </c>
      <c r="BG1642" s="7" t="s">
        <v>1242</v>
      </c>
    </row>
    <row r="1643" spans="1:59" ht="409.6" x14ac:dyDescent="0.45">
      <c r="A1643" s="5">
        <v>1642</v>
      </c>
      <c r="B1643" s="1" t="s">
        <v>10217</v>
      </c>
      <c r="C1643" s="6"/>
      <c r="E1643" s="1"/>
      <c r="F1643" s="1"/>
      <c r="G1643" s="1"/>
      <c r="J1643" s="1" t="s">
        <v>7559</v>
      </c>
      <c r="K1643" s="2" t="s">
        <v>10309</v>
      </c>
      <c r="P1643" s="7" t="s">
        <v>1241</v>
      </c>
      <c r="AV1643" s="1" t="s">
        <v>38</v>
      </c>
      <c r="BG1643" s="7" t="s">
        <v>1242</v>
      </c>
    </row>
    <row r="1644" spans="1:59" ht="72" x14ac:dyDescent="0.45">
      <c r="A1644" s="5">
        <v>1643</v>
      </c>
      <c r="B1644" s="1" t="s">
        <v>10218</v>
      </c>
      <c r="C1644" s="6"/>
      <c r="E1644" s="1"/>
      <c r="F1644" s="1"/>
      <c r="G1644" s="1"/>
      <c r="J1644" s="1" t="s">
        <v>7559</v>
      </c>
      <c r="K1644" s="2" t="s">
        <v>10219</v>
      </c>
      <c r="P1644" s="7" t="s">
        <v>1241</v>
      </c>
      <c r="AV1644" s="1" t="s">
        <v>38</v>
      </c>
      <c r="BG1644" s="7" t="s">
        <v>1242</v>
      </c>
    </row>
    <row r="1645" spans="1:59" ht="126" x14ac:dyDescent="0.45">
      <c r="A1645" s="5">
        <v>1644</v>
      </c>
      <c r="B1645" s="1" t="s">
        <v>10220</v>
      </c>
      <c r="C1645" s="6"/>
      <c r="E1645" s="1"/>
      <c r="F1645" s="1"/>
      <c r="G1645" s="1"/>
      <c r="J1645" s="1" t="s">
        <v>7559</v>
      </c>
      <c r="K1645" s="2" t="s">
        <v>10221</v>
      </c>
      <c r="P1645" s="7" t="s">
        <v>1241</v>
      </c>
      <c r="AV1645" s="1" t="s">
        <v>38</v>
      </c>
      <c r="BG1645" s="7" t="s">
        <v>1242</v>
      </c>
    </row>
    <row r="1646" spans="1:59" ht="126" x14ac:dyDescent="0.45">
      <c r="A1646" s="5">
        <v>1645</v>
      </c>
      <c r="B1646" s="1" t="s">
        <v>10858</v>
      </c>
      <c r="C1646" s="6"/>
      <c r="E1646" s="1"/>
      <c r="F1646" s="1"/>
      <c r="G1646" s="1"/>
      <c r="J1646" s="1" t="s">
        <v>7559</v>
      </c>
      <c r="K1646" s="2" t="s">
        <v>10222</v>
      </c>
      <c r="P1646" s="7" t="s">
        <v>1241</v>
      </c>
      <c r="AV1646" s="1" t="s">
        <v>38</v>
      </c>
      <c r="BG1646" s="7" t="s">
        <v>1242</v>
      </c>
    </row>
    <row r="1647" spans="1:59" ht="270" x14ac:dyDescent="0.45">
      <c r="A1647" s="5">
        <v>1646</v>
      </c>
      <c r="B1647" s="1" t="s">
        <v>10223</v>
      </c>
      <c r="C1647" s="6"/>
      <c r="E1647" s="1"/>
      <c r="F1647" s="1"/>
      <c r="G1647" s="1"/>
      <c r="J1647" s="1" t="s">
        <v>7559</v>
      </c>
      <c r="K1647" s="2" t="s">
        <v>10310</v>
      </c>
      <c r="P1647" s="7" t="s">
        <v>1241</v>
      </c>
      <c r="AV1647" s="1" t="s">
        <v>38</v>
      </c>
      <c r="BG1647" s="7" t="s">
        <v>1242</v>
      </c>
    </row>
    <row r="1648" spans="1:59" ht="306" x14ac:dyDescent="0.45">
      <c r="A1648" s="5">
        <v>1647</v>
      </c>
      <c r="B1648" s="1" t="s">
        <v>10224</v>
      </c>
      <c r="C1648" s="6"/>
      <c r="E1648" s="1"/>
      <c r="F1648" s="1"/>
      <c r="G1648" s="1"/>
      <c r="J1648" s="1" t="s">
        <v>7559</v>
      </c>
      <c r="K1648" s="2" t="s">
        <v>10311</v>
      </c>
      <c r="P1648" s="7" t="s">
        <v>1241</v>
      </c>
      <c r="AV1648" s="1" t="s">
        <v>38</v>
      </c>
      <c r="BG1648" s="7" t="s">
        <v>1242</v>
      </c>
    </row>
    <row r="1649" spans="1:59" ht="72" x14ac:dyDescent="0.45">
      <c r="A1649" s="5">
        <v>1648</v>
      </c>
      <c r="B1649" s="1" t="s">
        <v>10225</v>
      </c>
      <c r="C1649" s="6"/>
      <c r="E1649" s="1"/>
      <c r="F1649" s="1"/>
      <c r="G1649" s="1"/>
      <c r="J1649" s="1" t="s">
        <v>7559</v>
      </c>
      <c r="K1649" s="2" t="s">
        <v>10226</v>
      </c>
      <c r="P1649" s="7" t="s">
        <v>1241</v>
      </c>
      <c r="AV1649" s="1" t="s">
        <v>38</v>
      </c>
      <c r="BG1649" s="7" t="s">
        <v>1242</v>
      </c>
    </row>
    <row r="1650" spans="1:59" ht="198" x14ac:dyDescent="0.45">
      <c r="A1650" s="5">
        <v>1649</v>
      </c>
      <c r="B1650" s="1" t="s">
        <v>10227</v>
      </c>
      <c r="C1650" s="6"/>
      <c r="E1650" s="1"/>
      <c r="F1650" s="1"/>
      <c r="G1650" s="1"/>
      <c r="J1650" s="1" t="s">
        <v>7559</v>
      </c>
      <c r="K1650" s="2" t="s">
        <v>10228</v>
      </c>
      <c r="P1650" s="7" t="s">
        <v>1241</v>
      </c>
      <c r="AV1650" s="1" t="s">
        <v>38</v>
      </c>
      <c r="BG1650" s="7" t="s">
        <v>1242</v>
      </c>
    </row>
    <row r="1651" spans="1:59" ht="108" x14ac:dyDescent="0.45">
      <c r="A1651" s="5">
        <v>1650</v>
      </c>
      <c r="B1651" s="1" t="s">
        <v>10229</v>
      </c>
      <c r="C1651" s="6"/>
      <c r="E1651" s="1"/>
      <c r="F1651" s="1"/>
      <c r="G1651" s="1"/>
      <c r="J1651" s="1" t="s">
        <v>7559</v>
      </c>
      <c r="K1651" s="2" t="s">
        <v>10230</v>
      </c>
      <c r="P1651" s="7" t="s">
        <v>1241</v>
      </c>
      <c r="AV1651" s="1" t="s">
        <v>38</v>
      </c>
      <c r="BG1651" s="7" t="s">
        <v>1242</v>
      </c>
    </row>
    <row r="1652" spans="1:59" ht="198" x14ac:dyDescent="0.45">
      <c r="A1652" s="5">
        <v>1651</v>
      </c>
      <c r="B1652" s="1" t="s">
        <v>10231</v>
      </c>
      <c r="C1652" s="6"/>
      <c r="E1652" s="1"/>
      <c r="F1652" s="1"/>
      <c r="G1652" s="1"/>
      <c r="J1652" s="1" t="s">
        <v>7559</v>
      </c>
      <c r="K1652" s="2" t="s">
        <v>10232</v>
      </c>
      <c r="P1652" s="7" t="s">
        <v>1241</v>
      </c>
      <c r="AV1652" s="1" t="s">
        <v>38</v>
      </c>
      <c r="BG1652" s="7" t="s">
        <v>1242</v>
      </c>
    </row>
    <row r="1653" spans="1:59" ht="90" x14ac:dyDescent="0.45">
      <c r="A1653" s="5">
        <v>1652</v>
      </c>
      <c r="B1653" s="1" t="s">
        <v>10233</v>
      </c>
      <c r="C1653" s="6"/>
      <c r="E1653" s="1"/>
      <c r="F1653" s="1"/>
      <c r="G1653" s="1"/>
      <c r="J1653" s="1" t="s">
        <v>7559</v>
      </c>
      <c r="K1653" s="2" t="s">
        <v>10234</v>
      </c>
      <c r="P1653" s="7" t="s">
        <v>1241</v>
      </c>
      <c r="AV1653" s="1" t="s">
        <v>38</v>
      </c>
      <c r="BG1653" s="7" t="s">
        <v>1242</v>
      </c>
    </row>
    <row r="1654" spans="1:59" ht="90" x14ac:dyDescent="0.45">
      <c r="A1654" s="5">
        <v>1653</v>
      </c>
      <c r="B1654" s="1" t="s">
        <v>10235</v>
      </c>
      <c r="C1654" s="6"/>
      <c r="E1654" s="1"/>
      <c r="F1654" s="1"/>
      <c r="G1654" s="1"/>
      <c r="J1654" s="1" t="s">
        <v>7559</v>
      </c>
      <c r="K1654" s="2" t="s">
        <v>10236</v>
      </c>
      <c r="P1654" s="7" t="s">
        <v>1241</v>
      </c>
      <c r="AV1654" s="1" t="s">
        <v>38</v>
      </c>
      <c r="BG1654" s="7" t="s">
        <v>1242</v>
      </c>
    </row>
    <row r="1655" spans="1:59" ht="234" x14ac:dyDescent="0.45">
      <c r="A1655" s="5">
        <v>1654</v>
      </c>
      <c r="B1655" s="1" t="s">
        <v>10237</v>
      </c>
      <c r="C1655" s="6"/>
      <c r="E1655" s="1"/>
      <c r="F1655" s="1"/>
      <c r="G1655" s="1"/>
      <c r="J1655" s="1" t="s">
        <v>7559</v>
      </c>
      <c r="K1655" s="2" t="s">
        <v>10238</v>
      </c>
      <c r="P1655" s="7" t="s">
        <v>1241</v>
      </c>
      <c r="AV1655" s="1" t="s">
        <v>38</v>
      </c>
      <c r="BG1655" s="7" t="s">
        <v>1242</v>
      </c>
    </row>
    <row r="1656" spans="1:59" ht="288" x14ac:dyDescent="0.45">
      <c r="A1656" s="5">
        <v>1655</v>
      </c>
      <c r="B1656" s="1" t="s">
        <v>10239</v>
      </c>
      <c r="C1656" s="6"/>
      <c r="E1656" s="1"/>
      <c r="F1656" s="1"/>
      <c r="G1656" s="1"/>
      <c r="J1656" s="1" t="s">
        <v>7559</v>
      </c>
      <c r="K1656" s="2" t="s">
        <v>10240</v>
      </c>
      <c r="P1656" s="7" t="s">
        <v>1241</v>
      </c>
      <c r="AV1656" s="1" t="s">
        <v>38</v>
      </c>
      <c r="BG1656" s="7" t="s">
        <v>1242</v>
      </c>
    </row>
    <row r="1657" spans="1:59" ht="144" x14ac:dyDescent="0.45">
      <c r="A1657" s="5">
        <v>1656</v>
      </c>
      <c r="B1657" s="1" t="s">
        <v>10241</v>
      </c>
      <c r="C1657" s="6"/>
      <c r="E1657" s="1"/>
      <c r="F1657" s="1"/>
      <c r="G1657" s="1"/>
      <c r="J1657" s="1" t="s">
        <v>7559</v>
      </c>
      <c r="K1657" s="2" t="s">
        <v>10242</v>
      </c>
      <c r="P1657" s="7" t="s">
        <v>1241</v>
      </c>
      <c r="AV1657" s="1" t="s">
        <v>38</v>
      </c>
      <c r="BG1657" s="7" t="s">
        <v>1242</v>
      </c>
    </row>
    <row r="1658" spans="1:59" ht="180" x14ac:dyDescent="0.45">
      <c r="A1658" s="5">
        <v>1657</v>
      </c>
      <c r="B1658" s="1" t="s">
        <v>10243</v>
      </c>
      <c r="C1658" s="6"/>
      <c r="E1658" s="1"/>
      <c r="F1658" s="1"/>
      <c r="G1658" s="1"/>
      <c r="J1658" s="1" t="s">
        <v>7559</v>
      </c>
      <c r="K1658" s="2" t="s">
        <v>10244</v>
      </c>
      <c r="P1658" s="7" t="s">
        <v>1241</v>
      </c>
      <c r="AV1658" s="1" t="s">
        <v>38</v>
      </c>
      <c r="BG1658" s="7" t="s">
        <v>1242</v>
      </c>
    </row>
    <row r="1659" spans="1:59" ht="306" x14ac:dyDescent="0.45">
      <c r="A1659" s="5">
        <v>1658</v>
      </c>
      <c r="B1659" s="1" t="s">
        <v>10245</v>
      </c>
      <c r="C1659" s="6"/>
      <c r="E1659" s="1"/>
      <c r="F1659" s="1"/>
      <c r="G1659" s="1"/>
      <c r="J1659" s="1" t="s">
        <v>7559</v>
      </c>
      <c r="K1659" s="2" t="s">
        <v>10246</v>
      </c>
      <c r="P1659" s="7" t="s">
        <v>1241</v>
      </c>
      <c r="AV1659" s="1" t="s">
        <v>38</v>
      </c>
      <c r="BG1659" s="7" t="s">
        <v>1242</v>
      </c>
    </row>
    <row r="1660" spans="1:59" ht="162" x14ac:dyDescent="0.45">
      <c r="A1660" s="5">
        <v>1659</v>
      </c>
      <c r="B1660" s="1" t="s">
        <v>10247</v>
      </c>
      <c r="C1660" s="6"/>
      <c r="E1660" s="1"/>
      <c r="F1660" s="1"/>
      <c r="G1660" s="1"/>
      <c r="J1660" s="1" t="s">
        <v>7559</v>
      </c>
      <c r="K1660" s="2" t="s">
        <v>10248</v>
      </c>
      <c r="P1660" s="7" t="s">
        <v>1241</v>
      </c>
      <c r="AV1660" s="1" t="s">
        <v>38</v>
      </c>
      <c r="BG1660" s="7" t="s">
        <v>1242</v>
      </c>
    </row>
    <row r="1661" spans="1:59" ht="180" x14ac:dyDescent="0.45">
      <c r="A1661" s="5">
        <v>1660</v>
      </c>
      <c r="B1661" s="1" t="s">
        <v>10249</v>
      </c>
      <c r="C1661" s="6"/>
      <c r="E1661" s="1"/>
      <c r="F1661" s="1"/>
      <c r="G1661" s="1"/>
      <c r="J1661" s="1" t="s">
        <v>7559</v>
      </c>
      <c r="K1661" s="2" t="s">
        <v>10250</v>
      </c>
      <c r="P1661" s="7" t="s">
        <v>1241</v>
      </c>
      <c r="AV1661" s="1" t="s">
        <v>38</v>
      </c>
      <c r="BG1661" s="7" t="s">
        <v>1242</v>
      </c>
    </row>
    <row r="1662" spans="1:59" ht="162" x14ac:dyDescent="0.45">
      <c r="A1662" s="5">
        <v>1661</v>
      </c>
      <c r="B1662" s="1" t="s">
        <v>10251</v>
      </c>
      <c r="C1662" s="6"/>
      <c r="E1662" s="1"/>
      <c r="F1662" s="1"/>
      <c r="G1662" s="1"/>
      <c r="J1662" s="1" t="s">
        <v>7559</v>
      </c>
      <c r="K1662" s="11" t="s">
        <v>11805</v>
      </c>
      <c r="P1662" s="7" t="s">
        <v>1241</v>
      </c>
      <c r="AV1662" s="1" t="s">
        <v>38</v>
      </c>
      <c r="BG1662" s="7" t="s">
        <v>1242</v>
      </c>
    </row>
    <row r="1663" spans="1:59" ht="90" x14ac:dyDescent="0.45">
      <c r="A1663" s="5">
        <v>1662</v>
      </c>
      <c r="B1663" s="1" t="s">
        <v>10252</v>
      </c>
      <c r="C1663" s="6"/>
      <c r="E1663" s="1"/>
      <c r="F1663" s="1"/>
      <c r="G1663" s="1"/>
      <c r="J1663" s="1" t="s">
        <v>7559</v>
      </c>
      <c r="K1663" s="2" t="s">
        <v>10253</v>
      </c>
      <c r="P1663" s="7" t="s">
        <v>1241</v>
      </c>
      <c r="AV1663" s="1" t="s">
        <v>38</v>
      </c>
      <c r="BG1663" s="7" t="s">
        <v>1242</v>
      </c>
    </row>
    <row r="1664" spans="1:59" ht="234" x14ac:dyDescent="0.45">
      <c r="A1664" s="5">
        <v>1663</v>
      </c>
      <c r="B1664" s="1" t="s">
        <v>10254</v>
      </c>
      <c r="C1664" s="6"/>
      <c r="E1664" s="1"/>
      <c r="F1664" s="1"/>
      <c r="G1664" s="1"/>
      <c r="J1664" s="1" t="s">
        <v>7559</v>
      </c>
      <c r="K1664" s="2" t="s">
        <v>10255</v>
      </c>
      <c r="P1664" s="7" t="s">
        <v>1241</v>
      </c>
      <c r="AV1664" s="1" t="s">
        <v>38</v>
      </c>
      <c r="BG1664" s="7" t="s">
        <v>1242</v>
      </c>
    </row>
    <row r="1665" spans="1:59" ht="409.6" x14ac:dyDescent="0.45">
      <c r="A1665" s="5">
        <v>1664</v>
      </c>
      <c r="B1665" s="1" t="s">
        <v>10256</v>
      </c>
      <c r="C1665" s="6"/>
      <c r="E1665" s="1"/>
      <c r="F1665" s="1"/>
      <c r="G1665" s="1"/>
      <c r="J1665" s="1" t="s">
        <v>7559</v>
      </c>
      <c r="K1665" s="11" t="s">
        <v>11806</v>
      </c>
      <c r="P1665" s="7" t="s">
        <v>1241</v>
      </c>
      <c r="AV1665" s="1" t="s">
        <v>38</v>
      </c>
      <c r="BG1665" s="7" t="s">
        <v>1242</v>
      </c>
    </row>
    <row r="1666" spans="1:59" ht="409.6" x14ac:dyDescent="0.45">
      <c r="A1666" s="5">
        <v>1665</v>
      </c>
      <c r="B1666" s="1" t="s">
        <v>10257</v>
      </c>
      <c r="C1666" s="6"/>
      <c r="E1666" s="1"/>
      <c r="F1666" s="1"/>
      <c r="G1666" s="1"/>
      <c r="J1666" s="1" t="s">
        <v>7559</v>
      </c>
      <c r="K1666" s="2" t="s">
        <v>10331</v>
      </c>
      <c r="P1666" s="7" t="s">
        <v>1241</v>
      </c>
      <c r="AV1666" s="1" t="s">
        <v>38</v>
      </c>
      <c r="BG1666" s="7" t="s">
        <v>1242</v>
      </c>
    </row>
    <row r="1667" spans="1:59" ht="162" x14ac:dyDescent="0.45">
      <c r="A1667" s="5">
        <v>1666</v>
      </c>
      <c r="B1667" s="1" t="s">
        <v>10258</v>
      </c>
      <c r="C1667" s="6"/>
      <c r="E1667" s="1"/>
      <c r="F1667" s="1"/>
      <c r="G1667" s="1"/>
      <c r="J1667" s="1" t="s">
        <v>7559</v>
      </c>
      <c r="K1667" s="2" t="s">
        <v>10259</v>
      </c>
      <c r="P1667" s="7" t="s">
        <v>1241</v>
      </c>
      <c r="AV1667" s="1" t="s">
        <v>38</v>
      </c>
      <c r="BG1667" s="7" t="s">
        <v>1242</v>
      </c>
    </row>
    <row r="1668" spans="1:59" ht="409.6" x14ac:dyDescent="0.45">
      <c r="A1668" s="5">
        <v>1667</v>
      </c>
      <c r="B1668" s="1" t="s">
        <v>10260</v>
      </c>
      <c r="C1668" s="6"/>
      <c r="E1668" s="1"/>
      <c r="F1668" s="1"/>
      <c r="G1668" s="1"/>
      <c r="J1668" s="1" t="s">
        <v>7559</v>
      </c>
      <c r="K1668" s="2" t="s">
        <v>10332</v>
      </c>
      <c r="P1668" s="7" t="s">
        <v>1241</v>
      </c>
      <c r="AV1668" s="1" t="s">
        <v>38</v>
      </c>
      <c r="BG1668" s="7" t="s">
        <v>1242</v>
      </c>
    </row>
    <row r="1669" spans="1:59" ht="216" x14ac:dyDescent="0.45">
      <c r="A1669" s="5">
        <v>1668</v>
      </c>
      <c r="B1669" s="1" t="s">
        <v>10261</v>
      </c>
      <c r="C1669" s="6"/>
      <c r="E1669" s="1"/>
      <c r="F1669" s="1"/>
      <c r="G1669" s="1"/>
      <c r="J1669" s="1" t="s">
        <v>7559</v>
      </c>
      <c r="K1669" s="2" t="s">
        <v>10284</v>
      </c>
      <c r="P1669" s="7" t="s">
        <v>1241</v>
      </c>
      <c r="AV1669" s="1" t="s">
        <v>38</v>
      </c>
      <c r="BG1669" s="7" t="s">
        <v>1242</v>
      </c>
    </row>
    <row r="1670" spans="1:59" ht="409.6" x14ac:dyDescent="0.45">
      <c r="A1670" s="5">
        <v>1669</v>
      </c>
      <c r="B1670" s="1" t="s">
        <v>10262</v>
      </c>
      <c r="C1670" s="6"/>
      <c r="E1670" s="1"/>
      <c r="F1670" s="1"/>
      <c r="G1670" s="1"/>
      <c r="J1670" s="1" t="s">
        <v>7559</v>
      </c>
      <c r="K1670" s="2" t="s">
        <v>10312</v>
      </c>
      <c r="P1670" s="7" t="s">
        <v>1241</v>
      </c>
      <c r="AV1670" s="1" t="s">
        <v>38</v>
      </c>
      <c r="BG1670" s="7" t="s">
        <v>1242</v>
      </c>
    </row>
    <row r="1671" spans="1:59" ht="409.6" x14ac:dyDescent="0.45">
      <c r="A1671" s="5">
        <v>1670</v>
      </c>
      <c r="B1671" s="1" t="s">
        <v>10263</v>
      </c>
      <c r="C1671" s="6"/>
      <c r="E1671" s="1"/>
      <c r="F1671" s="1"/>
      <c r="G1671" s="1"/>
      <c r="J1671" s="1" t="s">
        <v>7559</v>
      </c>
      <c r="K1671" s="2" t="s">
        <v>10313</v>
      </c>
      <c r="P1671" s="7" t="s">
        <v>1241</v>
      </c>
      <c r="AV1671" s="1" t="s">
        <v>38</v>
      </c>
      <c r="BG1671" s="7" t="s">
        <v>1242</v>
      </c>
    </row>
    <row r="1672" spans="1:59" ht="252" x14ac:dyDescent="0.45">
      <c r="A1672" s="5">
        <v>1671</v>
      </c>
      <c r="B1672" s="1" t="s">
        <v>10264</v>
      </c>
      <c r="C1672" s="6"/>
      <c r="E1672" s="1"/>
      <c r="F1672" s="1"/>
      <c r="G1672" s="1"/>
      <c r="J1672" s="1" t="s">
        <v>7559</v>
      </c>
      <c r="K1672" s="2" t="s">
        <v>10285</v>
      </c>
      <c r="P1672" s="7" t="s">
        <v>1241</v>
      </c>
      <c r="AV1672" s="1" t="s">
        <v>38</v>
      </c>
      <c r="BG1672" s="7" t="s">
        <v>1242</v>
      </c>
    </row>
    <row r="1673" spans="1:59" ht="126" x14ac:dyDescent="0.45">
      <c r="A1673" s="5">
        <v>1672</v>
      </c>
      <c r="B1673" s="1" t="s">
        <v>10859</v>
      </c>
      <c r="C1673" s="6"/>
      <c r="E1673" s="1"/>
      <c r="F1673" s="1"/>
      <c r="G1673" s="1"/>
      <c r="J1673" s="1" t="s">
        <v>7559</v>
      </c>
      <c r="K1673" s="2" t="s">
        <v>10286</v>
      </c>
      <c r="P1673" s="7" t="s">
        <v>1241</v>
      </c>
      <c r="AV1673" s="1" t="s">
        <v>38</v>
      </c>
      <c r="BG1673" s="7" t="s">
        <v>1242</v>
      </c>
    </row>
    <row r="1674" spans="1:59" ht="126" x14ac:dyDescent="0.45">
      <c r="A1674" s="5">
        <v>1673</v>
      </c>
      <c r="B1674" s="1" t="s">
        <v>10265</v>
      </c>
      <c r="C1674" s="6"/>
      <c r="E1674" s="1"/>
      <c r="F1674" s="1"/>
      <c r="G1674" s="1"/>
      <c r="J1674" s="1" t="s">
        <v>7559</v>
      </c>
      <c r="K1674" s="2" t="s">
        <v>10287</v>
      </c>
      <c r="P1674" s="7" t="s">
        <v>1241</v>
      </c>
      <c r="AV1674" s="1" t="s">
        <v>38</v>
      </c>
      <c r="BG1674" s="7" t="s">
        <v>1242</v>
      </c>
    </row>
    <row r="1675" spans="1:59" ht="162" x14ac:dyDescent="0.45">
      <c r="A1675" s="5">
        <v>1674</v>
      </c>
      <c r="B1675" s="1" t="s">
        <v>10266</v>
      </c>
      <c r="C1675" s="6"/>
      <c r="E1675" s="1"/>
      <c r="F1675" s="1"/>
      <c r="G1675" s="1"/>
      <c r="J1675" s="1" t="s">
        <v>7559</v>
      </c>
      <c r="K1675" s="2" t="s">
        <v>10288</v>
      </c>
      <c r="P1675" s="7" t="s">
        <v>1241</v>
      </c>
      <c r="AV1675" s="1" t="s">
        <v>38</v>
      </c>
      <c r="BG1675" s="7" t="s">
        <v>1242</v>
      </c>
    </row>
    <row r="1676" spans="1:59" ht="306" x14ac:dyDescent="0.45">
      <c r="A1676" s="5">
        <v>1675</v>
      </c>
      <c r="B1676" s="1" t="s">
        <v>10860</v>
      </c>
      <c r="C1676" s="6"/>
      <c r="E1676" s="1"/>
      <c r="F1676" s="1"/>
      <c r="G1676" s="1"/>
      <c r="J1676" s="1" t="s">
        <v>7559</v>
      </c>
      <c r="K1676" s="2" t="s">
        <v>10289</v>
      </c>
      <c r="P1676" s="7" t="s">
        <v>1241</v>
      </c>
      <c r="AV1676" s="1" t="s">
        <v>38</v>
      </c>
      <c r="BG1676" s="7" t="s">
        <v>1242</v>
      </c>
    </row>
    <row r="1677" spans="1:59" ht="378" x14ac:dyDescent="0.45">
      <c r="A1677" s="5">
        <v>1676</v>
      </c>
      <c r="B1677" s="1" t="s">
        <v>10267</v>
      </c>
      <c r="C1677" s="6"/>
      <c r="E1677" s="1"/>
      <c r="F1677" s="1"/>
      <c r="G1677" s="1"/>
      <c r="J1677" s="1" t="s">
        <v>7559</v>
      </c>
      <c r="K1677" s="2" t="s">
        <v>10290</v>
      </c>
      <c r="P1677" s="7" t="s">
        <v>1241</v>
      </c>
      <c r="AV1677" s="1" t="s">
        <v>38</v>
      </c>
      <c r="BG1677" s="7" t="s">
        <v>1242</v>
      </c>
    </row>
    <row r="1678" spans="1:59" ht="234" x14ac:dyDescent="0.45">
      <c r="A1678" s="5">
        <v>1677</v>
      </c>
      <c r="B1678" s="1" t="s">
        <v>10861</v>
      </c>
      <c r="C1678" s="6"/>
      <c r="E1678" s="1"/>
      <c r="F1678" s="1"/>
      <c r="G1678" s="1"/>
      <c r="J1678" s="1" t="s">
        <v>7559</v>
      </c>
      <c r="K1678" s="2" t="s">
        <v>10291</v>
      </c>
      <c r="P1678" s="7" t="s">
        <v>1241</v>
      </c>
      <c r="AV1678" s="1" t="s">
        <v>38</v>
      </c>
      <c r="BG1678" s="7" t="s">
        <v>1242</v>
      </c>
    </row>
    <row r="1679" spans="1:59" ht="324" x14ac:dyDescent="0.45">
      <c r="A1679" s="5">
        <v>1678</v>
      </c>
      <c r="B1679" s="1" t="s">
        <v>10862</v>
      </c>
      <c r="C1679" s="6"/>
      <c r="E1679" s="1"/>
      <c r="F1679" s="1"/>
      <c r="G1679" s="1"/>
      <c r="J1679" s="1" t="s">
        <v>7559</v>
      </c>
      <c r="K1679" s="2" t="s">
        <v>10292</v>
      </c>
      <c r="P1679" s="7" t="s">
        <v>1241</v>
      </c>
      <c r="AV1679" s="1" t="s">
        <v>38</v>
      </c>
      <c r="BG1679" s="7" t="s">
        <v>1242</v>
      </c>
    </row>
    <row r="1680" spans="1:59" ht="144" x14ac:dyDescent="0.45">
      <c r="A1680" s="5">
        <v>1679</v>
      </c>
      <c r="B1680" s="1" t="s">
        <v>10863</v>
      </c>
      <c r="C1680" s="6"/>
      <c r="E1680" s="1"/>
      <c r="F1680" s="1"/>
      <c r="G1680" s="1"/>
      <c r="J1680" s="1" t="s">
        <v>7559</v>
      </c>
      <c r="K1680" s="2" t="s">
        <v>10293</v>
      </c>
      <c r="P1680" s="7" t="s">
        <v>1241</v>
      </c>
      <c r="AV1680" s="1" t="s">
        <v>38</v>
      </c>
      <c r="BG1680" s="7" t="s">
        <v>1242</v>
      </c>
    </row>
    <row r="1681" spans="1:59" ht="126" x14ac:dyDescent="0.45">
      <c r="A1681" s="5">
        <v>1680</v>
      </c>
      <c r="B1681" s="1" t="s">
        <v>10268</v>
      </c>
      <c r="C1681" s="6"/>
      <c r="E1681" s="1"/>
      <c r="F1681" s="1"/>
      <c r="G1681" s="1"/>
      <c r="J1681" s="1" t="s">
        <v>7559</v>
      </c>
      <c r="K1681" s="2" t="s">
        <v>10376</v>
      </c>
      <c r="P1681" s="7" t="s">
        <v>1241</v>
      </c>
      <c r="AV1681" s="1" t="s">
        <v>38</v>
      </c>
      <c r="BG1681" s="7" t="s">
        <v>1242</v>
      </c>
    </row>
    <row r="1682" spans="1:59" ht="270" x14ac:dyDescent="0.45">
      <c r="A1682" s="5">
        <v>1681</v>
      </c>
      <c r="B1682" s="1" t="s">
        <v>10864</v>
      </c>
      <c r="C1682" s="6"/>
      <c r="E1682" s="1"/>
      <c r="F1682" s="1"/>
      <c r="G1682" s="1"/>
      <c r="J1682" s="1" t="s">
        <v>7559</v>
      </c>
      <c r="K1682" s="11" t="s">
        <v>11807</v>
      </c>
      <c r="P1682" s="7" t="s">
        <v>1241</v>
      </c>
      <c r="AV1682" s="1" t="s">
        <v>38</v>
      </c>
      <c r="BG1682" s="7" t="s">
        <v>1242</v>
      </c>
    </row>
    <row r="1683" spans="1:59" ht="306" x14ac:dyDescent="0.45">
      <c r="A1683" s="5">
        <v>1682</v>
      </c>
      <c r="B1683" s="1" t="s">
        <v>10865</v>
      </c>
      <c r="C1683" s="6"/>
      <c r="E1683" s="1"/>
      <c r="F1683" s="1"/>
      <c r="G1683" s="1"/>
      <c r="J1683" s="1" t="s">
        <v>7559</v>
      </c>
      <c r="K1683" s="11" t="s">
        <v>11808</v>
      </c>
      <c r="P1683" s="7" t="s">
        <v>1241</v>
      </c>
      <c r="AV1683" s="1" t="s">
        <v>38</v>
      </c>
      <c r="BG1683" s="7" t="s">
        <v>1242</v>
      </c>
    </row>
    <row r="1684" spans="1:59" ht="216" x14ac:dyDescent="0.45">
      <c r="A1684" s="5">
        <v>1683</v>
      </c>
      <c r="B1684" s="1" t="s">
        <v>10866</v>
      </c>
      <c r="C1684" s="6"/>
      <c r="E1684" s="1"/>
      <c r="F1684" s="1"/>
      <c r="G1684" s="1"/>
      <c r="J1684" s="1" t="s">
        <v>7559</v>
      </c>
      <c r="K1684" s="2" t="s">
        <v>10294</v>
      </c>
      <c r="P1684" s="7" t="s">
        <v>1241</v>
      </c>
      <c r="AV1684" s="1" t="s">
        <v>38</v>
      </c>
      <c r="BG1684" s="7" t="s">
        <v>1242</v>
      </c>
    </row>
    <row r="1685" spans="1:59" ht="409.6" x14ac:dyDescent="0.45">
      <c r="A1685" s="5">
        <v>1684</v>
      </c>
      <c r="B1685" s="1" t="s">
        <v>10269</v>
      </c>
      <c r="C1685" s="6"/>
      <c r="E1685" s="1"/>
      <c r="F1685" s="1"/>
      <c r="G1685" s="1"/>
      <c r="J1685" s="1" t="s">
        <v>7559</v>
      </c>
      <c r="K1685" s="11" t="s">
        <v>11809</v>
      </c>
      <c r="P1685" s="7" t="s">
        <v>1241</v>
      </c>
      <c r="AV1685" s="1" t="s">
        <v>38</v>
      </c>
      <c r="BG1685" s="7" t="s">
        <v>1242</v>
      </c>
    </row>
    <row r="1686" spans="1:59" ht="198" x14ac:dyDescent="0.45">
      <c r="A1686" s="5">
        <v>1685</v>
      </c>
      <c r="B1686" s="1" t="s">
        <v>10270</v>
      </c>
      <c r="C1686" s="6"/>
      <c r="E1686" s="1"/>
      <c r="F1686" s="1"/>
      <c r="G1686" s="1"/>
      <c r="J1686" s="1" t="s">
        <v>7559</v>
      </c>
      <c r="K1686" s="11" t="s">
        <v>11810</v>
      </c>
      <c r="P1686" s="7" t="s">
        <v>1241</v>
      </c>
      <c r="AV1686" s="1" t="s">
        <v>38</v>
      </c>
      <c r="BG1686" s="7" t="s">
        <v>1242</v>
      </c>
    </row>
    <row r="1687" spans="1:59" ht="234" x14ac:dyDescent="0.45">
      <c r="A1687" s="5">
        <v>1686</v>
      </c>
      <c r="B1687" s="1" t="s">
        <v>10867</v>
      </c>
      <c r="C1687" s="6"/>
      <c r="E1687" s="1"/>
      <c r="F1687" s="1"/>
      <c r="G1687" s="1"/>
      <c r="J1687" s="1" t="s">
        <v>7559</v>
      </c>
      <c r="K1687" s="11" t="s">
        <v>11811</v>
      </c>
      <c r="P1687" s="7" t="s">
        <v>1241</v>
      </c>
      <c r="AV1687" s="1" t="s">
        <v>38</v>
      </c>
      <c r="BG1687" s="7" t="s">
        <v>1242</v>
      </c>
    </row>
    <row r="1688" spans="1:59" ht="360" x14ac:dyDescent="0.45">
      <c r="A1688" s="5">
        <v>1687</v>
      </c>
      <c r="B1688" s="1" t="s">
        <v>10868</v>
      </c>
      <c r="C1688" s="6"/>
      <c r="E1688" s="1"/>
      <c r="F1688" s="1"/>
      <c r="G1688" s="1"/>
      <c r="J1688" s="1" t="s">
        <v>7559</v>
      </c>
      <c r="K1688" s="11" t="s">
        <v>11812</v>
      </c>
      <c r="P1688" s="7" t="s">
        <v>1241</v>
      </c>
      <c r="AV1688" s="1" t="s">
        <v>38</v>
      </c>
      <c r="BG1688" s="7" t="s">
        <v>1242</v>
      </c>
    </row>
    <row r="1689" spans="1:59" ht="180" x14ac:dyDescent="0.45">
      <c r="A1689" s="5">
        <v>1688</v>
      </c>
      <c r="B1689" s="1" t="s">
        <v>10271</v>
      </c>
      <c r="C1689" s="6"/>
      <c r="E1689" s="1"/>
      <c r="F1689" s="1"/>
      <c r="G1689" s="1"/>
      <c r="J1689" s="1" t="s">
        <v>7559</v>
      </c>
      <c r="K1689" s="2" t="s">
        <v>10333</v>
      </c>
      <c r="P1689" s="7" t="s">
        <v>1241</v>
      </c>
      <c r="AV1689" s="1" t="s">
        <v>38</v>
      </c>
      <c r="BG1689" s="7" t="s">
        <v>1242</v>
      </c>
    </row>
    <row r="1690" spans="1:59" ht="198" x14ac:dyDescent="0.45">
      <c r="A1690" s="5">
        <v>1689</v>
      </c>
      <c r="B1690" s="1" t="s">
        <v>10272</v>
      </c>
      <c r="C1690" s="6"/>
      <c r="E1690" s="1"/>
      <c r="F1690" s="1"/>
      <c r="G1690" s="1"/>
      <c r="J1690" s="1" t="s">
        <v>7559</v>
      </c>
      <c r="K1690" s="2" t="s">
        <v>10334</v>
      </c>
      <c r="P1690" s="7" t="s">
        <v>1241</v>
      </c>
      <c r="AV1690" s="1" t="s">
        <v>38</v>
      </c>
      <c r="BG1690" s="7" t="s">
        <v>1242</v>
      </c>
    </row>
    <row r="1691" spans="1:59" ht="234" x14ac:dyDescent="0.45">
      <c r="A1691" s="5">
        <v>1690</v>
      </c>
      <c r="B1691" s="1" t="s">
        <v>10273</v>
      </c>
      <c r="C1691" s="6"/>
      <c r="E1691" s="1"/>
      <c r="F1691" s="1"/>
      <c r="G1691" s="1"/>
      <c r="J1691" s="1" t="s">
        <v>7559</v>
      </c>
      <c r="K1691" s="2" t="s">
        <v>10335</v>
      </c>
      <c r="P1691" s="7" t="s">
        <v>1241</v>
      </c>
      <c r="AV1691" s="1" t="s">
        <v>38</v>
      </c>
      <c r="BG1691" s="7" t="s">
        <v>1242</v>
      </c>
    </row>
    <row r="1692" spans="1:59" ht="234" x14ac:dyDescent="0.45">
      <c r="A1692" s="5">
        <v>1691</v>
      </c>
      <c r="B1692" s="1" t="s">
        <v>10274</v>
      </c>
      <c r="C1692" s="6"/>
      <c r="E1692" s="1"/>
      <c r="F1692" s="1"/>
      <c r="G1692" s="1"/>
      <c r="J1692" s="1" t="s">
        <v>7559</v>
      </c>
      <c r="K1692" s="2" t="s">
        <v>10336</v>
      </c>
      <c r="P1692" s="7" t="s">
        <v>1241</v>
      </c>
      <c r="AV1692" s="1" t="s">
        <v>38</v>
      </c>
      <c r="BG1692" s="7" t="s">
        <v>1242</v>
      </c>
    </row>
    <row r="1693" spans="1:59" ht="162" x14ac:dyDescent="0.45">
      <c r="A1693" s="5">
        <v>1692</v>
      </c>
      <c r="B1693" s="1" t="s">
        <v>10275</v>
      </c>
      <c r="C1693" s="6"/>
      <c r="E1693" s="1"/>
      <c r="F1693" s="1"/>
      <c r="G1693" s="1"/>
      <c r="J1693" s="1" t="s">
        <v>7559</v>
      </c>
      <c r="K1693" s="11" t="s">
        <v>11813</v>
      </c>
      <c r="P1693" s="7" t="s">
        <v>1241</v>
      </c>
      <c r="AV1693" s="1" t="s">
        <v>38</v>
      </c>
      <c r="BG1693" s="7" t="s">
        <v>1242</v>
      </c>
    </row>
    <row r="1694" spans="1:59" ht="216" x14ac:dyDescent="0.45">
      <c r="A1694" s="5">
        <v>1693</v>
      </c>
      <c r="B1694" s="1" t="s">
        <v>10276</v>
      </c>
      <c r="C1694" s="6"/>
      <c r="E1694" s="1"/>
      <c r="F1694" s="1"/>
      <c r="G1694" s="1"/>
      <c r="J1694" s="1" t="s">
        <v>7559</v>
      </c>
      <c r="K1694" s="11" t="s">
        <v>11814</v>
      </c>
      <c r="P1694" s="7" t="s">
        <v>1241</v>
      </c>
      <c r="AV1694" s="1" t="s">
        <v>38</v>
      </c>
      <c r="BG1694" s="7" t="s">
        <v>1242</v>
      </c>
    </row>
    <row r="1695" spans="1:59" ht="126" x14ac:dyDescent="0.45">
      <c r="A1695" s="5">
        <v>1694</v>
      </c>
      <c r="B1695" s="1" t="s">
        <v>10869</v>
      </c>
      <c r="C1695" s="6"/>
      <c r="E1695" s="1"/>
      <c r="F1695" s="1"/>
      <c r="G1695" s="1"/>
      <c r="J1695" s="1" t="s">
        <v>7559</v>
      </c>
      <c r="K1695" s="2" t="s">
        <v>10295</v>
      </c>
      <c r="P1695" s="7" t="s">
        <v>1241</v>
      </c>
      <c r="AV1695" s="1" t="s">
        <v>38</v>
      </c>
      <c r="BG1695" s="7" t="s">
        <v>1242</v>
      </c>
    </row>
    <row r="1696" spans="1:59" ht="252" x14ac:dyDescent="0.45">
      <c r="A1696" s="5">
        <v>1695</v>
      </c>
      <c r="B1696" s="1" t="s">
        <v>10870</v>
      </c>
      <c r="C1696" s="6"/>
      <c r="E1696" s="1"/>
      <c r="F1696" s="1"/>
      <c r="G1696" s="1"/>
      <c r="J1696" s="1" t="s">
        <v>7559</v>
      </c>
      <c r="K1696" s="11" t="s">
        <v>11815</v>
      </c>
      <c r="P1696" s="7" t="s">
        <v>1241</v>
      </c>
      <c r="AV1696" s="1" t="s">
        <v>38</v>
      </c>
      <c r="BG1696" s="7" t="s">
        <v>1242</v>
      </c>
    </row>
    <row r="1697" spans="1:59" ht="180" x14ac:dyDescent="0.45">
      <c r="A1697" s="5">
        <v>1696</v>
      </c>
      <c r="B1697" s="1" t="s">
        <v>10277</v>
      </c>
      <c r="C1697" s="6"/>
      <c r="E1697" s="1"/>
      <c r="F1697" s="1"/>
      <c r="G1697" s="1"/>
      <c r="J1697" s="1" t="s">
        <v>7559</v>
      </c>
      <c r="K1697" s="2" t="s">
        <v>10296</v>
      </c>
      <c r="P1697" s="7" t="s">
        <v>1241</v>
      </c>
      <c r="AV1697" s="1" t="s">
        <v>38</v>
      </c>
      <c r="BG1697" s="7" t="s">
        <v>1242</v>
      </c>
    </row>
    <row r="1698" spans="1:59" ht="270" x14ac:dyDescent="0.45">
      <c r="A1698" s="5">
        <v>1697</v>
      </c>
      <c r="B1698" s="1" t="s">
        <v>10278</v>
      </c>
      <c r="C1698" s="6"/>
      <c r="E1698" s="1"/>
      <c r="F1698" s="1"/>
      <c r="G1698" s="1"/>
      <c r="J1698" s="1" t="s">
        <v>7559</v>
      </c>
      <c r="K1698" s="11" t="s">
        <v>11816</v>
      </c>
      <c r="P1698" s="7" t="s">
        <v>1241</v>
      </c>
      <c r="AV1698" s="1" t="s">
        <v>38</v>
      </c>
      <c r="BG1698" s="7" t="s">
        <v>1242</v>
      </c>
    </row>
    <row r="1699" spans="1:59" ht="180" x14ac:dyDescent="0.45">
      <c r="A1699" s="5">
        <v>1698</v>
      </c>
      <c r="B1699" s="1" t="s">
        <v>10279</v>
      </c>
      <c r="C1699" s="6"/>
      <c r="E1699" s="1"/>
      <c r="F1699" s="1"/>
      <c r="G1699" s="1"/>
      <c r="J1699" s="1" t="s">
        <v>7559</v>
      </c>
      <c r="K1699" s="11" t="s">
        <v>11817</v>
      </c>
      <c r="P1699" s="7" t="s">
        <v>1241</v>
      </c>
      <c r="AV1699" s="1" t="s">
        <v>38</v>
      </c>
      <c r="BG1699" s="7" t="s">
        <v>1242</v>
      </c>
    </row>
    <row r="1700" spans="1:59" ht="360" x14ac:dyDescent="0.45">
      <c r="A1700" s="5">
        <v>1699</v>
      </c>
      <c r="B1700" s="1" t="s">
        <v>10280</v>
      </c>
      <c r="C1700" s="6"/>
      <c r="E1700" s="1"/>
      <c r="F1700" s="1"/>
      <c r="G1700" s="1"/>
      <c r="J1700" s="1" t="s">
        <v>7559</v>
      </c>
      <c r="K1700" s="11" t="s">
        <v>11818</v>
      </c>
      <c r="P1700" s="7" t="s">
        <v>1241</v>
      </c>
      <c r="AV1700" s="1" t="s">
        <v>38</v>
      </c>
      <c r="BG1700" s="7" t="s">
        <v>1242</v>
      </c>
    </row>
    <row r="1701" spans="1:59" ht="234" x14ac:dyDescent="0.45">
      <c r="A1701" s="5">
        <v>1700</v>
      </c>
      <c r="B1701" s="1" t="s">
        <v>10281</v>
      </c>
      <c r="C1701" s="6"/>
      <c r="E1701" s="1"/>
      <c r="F1701" s="1"/>
      <c r="G1701" s="1"/>
      <c r="J1701" s="1" t="s">
        <v>7559</v>
      </c>
      <c r="K1701" s="11" t="s">
        <v>11819</v>
      </c>
      <c r="P1701" s="7" t="s">
        <v>1241</v>
      </c>
      <c r="AV1701" s="1" t="s">
        <v>38</v>
      </c>
      <c r="BG1701" s="7" t="s">
        <v>1242</v>
      </c>
    </row>
    <row r="1702" spans="1:59" ht="288" x14ac:dyDescent="0.45">
      <c r="A1702" s="5">
        <v>1701</v>
      </c>
      <c r="B1702" s="1" t="s">
        <v>10871</v>
      </c>
      <c r="C1702" s="6"/>
      <c r="E1702" s="1"/>
      <c r="F1702" s="1"/>
      <c r="G1702" s="1"/>
      <c r="I1702" s="1" t="s">
        <v>11785</v>
      </c>
      <c r="J1702" s="1" t="s">
        <v>7559</v>
      </c>
      <c r="K1702" s="11" t="s">
        <v>11820</v>
      </c>
      <c r="P1702" s="7" t="s">
        <v>1241</v>
      </c>
      <c r="AV1702" s="1" t="s">
        <v>38</v>
      </c>
      <c r="BG1702" s="7" t="s">
        <v>1242</v>
      </c>
    </row>
    <row r="1703" spans="1:59" ht="216" x14ac:dyDescent="0.45">
      <c r="A1703" s="5">
        <v>1702</v>
      </c>
      <c r="B1703" s="1" t="s">
        <v>10282</v>
      </c>
      <c r="C1703" s="6"/>
      <c r="E1703" s="1"/>
      <c r="F1703" s="1"/>
      <c r="G1703" s="1"/>
      <c r="J1703" s="1" t="s">
        <v>7559</v>
      </c>
      <c r="K1703" s="2" t="s">
        <v>10297</v>
      </c>
      <c r="P1703" s="7" t="s">
        <v>1241</v>
      </c>
      <c r="AV1703" s="1" t="s">
        <v>38</v>
      </c>
      <c r="BG1703" s="7" t="s">
        <v>1242</v>
      </c>
    </row>
    <row r="1704" spans="1:59" ht="144" x14ac:dyDescent="0.45">
      <c r="A1704" s="5">
        <v>1703</v>
      </c>
      <c r="B1704" s="1" t="s">
        <v>10872</v>
      </c>
      <c r="C1704" s="6"/>
      <c r="E1704" s="1"/>
      <c r="F1704" s="1"/>
      <c r="G1704" s="1"/>
      <c r="J1704" s="1" t="s">
        <v>7559</v>
      </c>
      <c r="K1704" s="11" t="s">
        <v>11821</v>
      </c>
      <c r="P1704" s="7" t="s">
        <v>1241</v>
      </c>
      <c r="AV1704" s="1" t="s">
        <v>38</v>
      </c>
      <c r="BG1704" s="7" t="s">
        <v>1242</v>
      </c>
    </row>
    <row r="1705" spans="1:59" ht="162" x14ac:dyDescent="0.45">
      <c r="A1705" s="5">
        <v>1704</v>
      </c>
      <c r="B1705" s="1" t="s">
        <v>10873</v>
      </c>
      <c r="C1705" s="6"/>
      <c r="E1705" s="1"/>
      <c r="F1705" s="1"/>
      <c r="G1705" s="1"/>
      <c r="J1705" s="1" t="s">
        <v>7559</v>
      </c>
      <c r="K1705" s="2" t="s">
        <v>10337</v>
      </c>
      <c r="P1705" s="7" t="s">
        <v>1241</v>
      </c>
      <c r="AV1705" s="1" t="s">
        <v>38</v>
      </c>
      <c r="BG1705" s="7" t="s">
        <v>1242</v>
      </c>
    </row>
    <row r="1706" spans="1:59" ht="270" x14ac:dyDescent="0.45">
      <c r="A1706" s="5">
        <v>1705</v>
      </c>
      <c r="B1706" s="1" t="s">
        <v>10874</v>
      </c>
      <c r="C1706" s="6"/>
      <c r="E1706" s="1"/>
      <c r="F1706" s="1"/>
      <c r="G1706" s="1"/>
      <c r="J1706" s="1" t="s">
        <v>7559</v>
      </c>
      <c r="K1706" s="11" t="s">
        <v>11822</v>
      </c>
      <c r="P1706" s="7" t="s">
        <v>1241</v>
      </c>
      <c r="AV1706" s="1" t="s">
        <v>38</v>
      </c>
      <c r="BG1706" s="7" t="s">
        <v>1242</v>
      </c>
    </row>
    <row r="1707" spans="1:59" ht="306" x14ac:dyDescent="0.45">
      <c r="A1707" s="5">
        <v>1706</v>
      </c>
      <c r="B1707" s="1" t="s">
        <v>10875</v>
      </c>
      <c r="C1707" s="6"/>
      <c r="E1707" s="1"/>
      <c r="F1707" s="1"/>
      <c r="G1707" s="1"/>
      <c r="J1707" s="1" t="s">
        <v>7559</v>
      </c>
      <c r="K1707" s="11" t="s">
        <v>11823</v>
      </c>
      <c r="P1707" s="7" t="s">
        <v>1241</v>
      </c>
      <c r="AV1707" s="1" t="s">
        <v>38</v>
      </c>
      <c r="BG1707" s="7" t="s">
        <v>1242</v>
      </c>
    </row>
    <row r="1708" spans="1:59" ht="270" x14ac:dyDescent="0.45">
      <c r="A1708" s="5">
        <v>1707</v>
      </c>
      <c r="B1708" s="1" t="s">
        <v>10876</v>
      </c>
      <c r="C1708" s="6"/>
      <c r="E1708" s="1"/>
      <c r="F1708" s="1"/>
      <c r="G1708" s="1"/>
      <c r="J1708" s="1" t="s">
        <v>7559</v>
      </c>
      <c r="K1708" s="11" t="s">
        <v>11824</v>
      </c>
      <c r="P1708" s="7" t="s">
        <v>1241</v>
      </c>
      <c r="AV1708" s="1" t="s">
        <v>38</v>
      </c>
      <c r="BG1708" s="7" t="s">
        <v>1242</v>
      </c>
    </row>
    <row r="1709" spans="1:59" ht="234" x14ac:dyDescent="0.45">
      <c r="A1709" s="5">
        <v>1708</v>
      </c>
      <c r="B1709" s="1" t="s">
        <v>10877</v>
      </c>
      <c r="C1709" s="6"/>
      <c r="E1709" s="1"/>
      <c r="F1709" s="1"/>
      <c r="G1709" s="1"/>
      <c r="J1709" s="1" t="s">
        <v>7559</v>
      </c>
      <c r="K1709" s="11" t="s">
        <v>11825</v>
      </c>
      <c r="P1709" s="7" t="s">
        <v>1241</v>
      </c>
      <c r="AV1709" s="1" t="s">
        <v>38</v>
      </c>
      <c r="BG1709" s="7" t="s">
        <v>1242</v>
      </c>
    </row>
    <row r="1710" spans="1:59" ht="342" x14ac:dyDescent="0.45">
      <c r="A1710" s="5">
        <v>1709</v>
      </c>
      <c r="B1710" s="1" t="s">
        <v>10878</v>
      </c>
      <c r="C1710" s="6"/>
      <c r="E1710" s="1"/>
      <c r="F1710" s="1"/>
      <c r="G1710" s="1"/>
      <c r="J1710" s="1" t="s">
        <v>7559</v>
      </c>
      <c r="K1710" s="2" t="s">
        <v>10298</v>
      </c>
      <c r="P1710" s="7" t="s">
        <v>1241</v>
      </c>
      <c r="AV1710" s="1" t="s">
        <v>38</v>
      </c>
      <c r="BG1710" s="7" t="s">
        <v>1242</v>
      </c>
    </row>
    <row r="1711" spans="1:59" ht="360" x14ac:dyDescent="0.45">
      <c r="A1711" s="5">
        <v>1710</v>
      </c>
      <c r="B1711" s="1" t="s">
        <v>10879</v>
      </c>
      <c r="C1711" s="6"/>
      <c r="E1711" s="1"/>
      <c r="F1711" s="1"/>
      <c r="G1711" s="1"/>
      <c r="J1711" s="1" t="s">
        <v>7559</v>
      </c>
      <c r="K1711" s="11" t="s">
        <v>11826</v>
      </c>
      <c r="P1711" s="7" t="s">
        <v>1241</v>
      </c>
      <c r="AV1711" s="1" t="s">
        <v>38</v>
      </c>
      <c r="BG1711" s="7" t="s">
        <v>1242</v>
      </c>
    </row>
    <row r="1712" spans="1:59" ht="144" x14ac:dyDescent="0.45">
      <c r="A1712" s="5">
        <v>1711</v>
      </c>
      <c r="B1712" s="1" t="s">
        <v>10880</v>
      </c>
      <c r="C1712" s="6"/>
      <c r="E1712" s="1"/>
      <c r="F1712" s="1"/>
      <c r="G1712" s="1"/>
      <c r="J1712" s="1" t="s">
        <v>7559</v>
      </c>
      <c r="K1712" s="2" t="s">
        <v>10355</v>
      </c>
      <c r="P1712" s="7" t="s">
        <v>1241</v>
      </c>
      <c r="AV1712" s="1" t="s">
        <v>38</v>
      </c>
      <c r="BG1712" s="7" t="s">
        <v>1242</v>
      </c>
    </row>
    <row r="1713" spans="1:59" ht="108" x14ac:dyDescent="0.45">
      <c r="A1713" s="5">
        <v>1712</v>
      </c>
      <c r="B1713" s="1" t="s">
        <v>10881</v>
      </c>
      <c r="C1713" s="6"/>
      <c r="E1713" s="1"/>
      <c r="F1713" s="1"/>
      <c r="G1713" s="1"/>
      <c r="J1713" s="1" t="s">
        <v>7559</v>
      </c>
      <c r="K1713" s="2" t="s">
        <v>11780</v>
      </c>
      <c r="P1713" s="7" t="s">
        <v>1241</v>
      </c>
      <c r="AV1713" s="1" t="s">
        <v>38</v>
      </c>
      <c r="BG1713" s="7" t="s">
        <v>1242</v>
      </c>
    </row>
    <row r="1714" spans="1:59" ht="144" x14ac:dyDescent="0.45">
      <c r="A1714" s="5">
        <v>1713</v>
      </c>
      <c r="B1714" s="1" t="s">
        <v>10882</v>
      </c>
      <c r="C1714" s="6"/>
      <c r="E1714" s="1"/>
      <c r="F1714" s="1"/>
      <c r="G1714" s="1"/>
      <c r="J1714" s="1" t="s">
        <v>7559</v>
      </c>
      <c r="K1714" s="11" t="s">
        <v>11827</v>
      </c>
      <c r="P1714" s="7" t="s">
        <v>1241</v>
      </c>
      <c r="AV1714" s="1" t="s">
        <v>38</v>
      </c>
      <c r="BG1714" s="7" t="s">
        <v>1242</v>
      </c>
    </row>
    <row r="1715" spans="1:59" ht="252" x14ac:dyDescent="0.45">
      <c r="A1715" s="5">
        <v>1714</v>
      </c>
      <c r="B1715" s="1" t="s">
        <v>10883</v>
      </c>
      <c r="C1715" s="6"/>
      <c r="E1715" s="1"/>
      <c r="F1715" s="1"/>
      <c r="G1715" s="1"/>
      <c r="J1715" s="1" t="s">
        <v>7559</v>
      </c>
      <c r="K1715" s="11" t="s">
        <v>11828</v>
      </c>
      <c r="P1715" s="7" t="s">
        <v>1241</v>
      </c>
      <c r="AV1715" s="1" t="s">
        <v>38</v>
      </c>
      <c r="BG1715" s="7" t="s">
        <v>1242</v>
      </c>
    </row>
    <row r="1716" spans="1:59" ht="409.6" x14ac:dyDescent="0.45">
      <c r="A1716" s="5">
        <v>1715</v>
      </c>
      <c r="B1716" s="1" t="s">
        <v>10884</v>
      </c>
      <c r="C1716" s="6"/>
      <c r="E1716" s="1"/>
      <c r="F1716" s="1"/>
      <c r="G1716" s="1"/>
      <c r="J1716" s="1" t="s">
        <v>7559</v>
      </c>
      <c r="K1716" s="11" t="s">
        <v>11829</v>
      </c>
      <c r="P1716" s="7" t="s">
        <v>1241</v>
      </c>
      <c r="AV1716" s="1" t="s">
        <v>38</v>
      </c>
      <c r="BG1716" s="7" t="s">
        <v>1242</v>
      </c>
    </row>
    <row r="1717" spans="1:59" ht="72" x14ac:dyDescent="0.45">
      <c r="A1717" s="5">
        <v>1716</v>
      </c>
      <c r="B1717" s="1" t="s">
        <v>10885</v>
      </c>
      <c r="C1717" s="6"/>
      <c r="E1717" s="1"/>
      <c r="F1717" s="1"/>
      <c r="G1717" s="1"/>
      <c r="J1717" s="1" t="s">
        <v>7559</v>
      </c>
      <c r="K1717" s="2" t="s">
        <v>10299</v>
      </c>
      <c r="P1717" s="7" t="s">
        <v>1241</v>
      </c>
      <c r="AV1717" s="1" t="s">
        <v>38</v>
      </c>
      <c r="BG1717" s="7" t="s">
        <v>1242</v>
      </c>
    </row>
    <row r="1718" spans="1:59" ht="180" x14ac:dyDescent="0.45">
      <c r="A1718" s="5">
        <v>1717</v>
      </c>
      <c r="B1718" s="1" t="s">
        <v>10886</v>
      </c>
      <c r="C1718" s="6"/>
      <c r="E1718" s="1"/>
      <c r="F1718" s="1"/>
      <c r="G1718" s="1"/>
      <c r="J1718" s="1" t="s">
        <v>7559</v>
      </c>
      <c r="K1718" s="2" t="s">
        <v>10300</v>
      </c>
      <c r="P1718" s="7" t="s">
        <v>1241</v>
      </c>
      <c r="AV1718" s="1" t="s">
        <v>38</v>
      </c>
      <c r="BG1718" s="7" t="s">
        <v>1242</v>
      </c>
    </row>
    <row r="1719" spans="1:59" ht="216" x14ac:dyDescent="0.45">
      <c r="A1719" s="5">
        <v>1718</v>
      </c>
      <c r="B1719" s="1" t="s">
        <v>10887</v>
      </c>
      <c r="C1719" s="6"/>
      <c r="E1719" s="1"/>
      <c r="F1719" s="1"/>
      <c r="G1719" s="1"/>
      <c r="J1719" s="1" t="s">
        <v>7559</v>
      </c>
      <c r="K1719" s="11" t="s">
        <v>11830</v>
      </c>
      <c r="P1719" s="7" t="s">
        <v>1241</v>
      </c>
      <c r="AV1719" s="1" t="s">
        <v>38</v>
      </c>
      <c r="BG1719" s="7" t="s">
        <v>1242</v>
      </c>
    </row>
    <row r="1720" spans="1:59" ht="54" x14ac:dyDescent="0.45">
      <c r="A1720" s="5">
        <v>1719</v>
      </c>
      <c r="B1720" s="1" t="s">
        <v>10888</v>
      </c>
      <c r="C1720" s="6"/>
      <c r="E1720" s="1"/>
      <c r="F1720" s="1"/>
      <c r="G1720" s="1"/>
      <c r="J1720" s="1" t="s">
        <v>7559</v>
      </c>
      <c r="K1720" s="2" t="s">
        <v>10301</v>
      </c>
      <c r="P1720" s="7" t="s">
        <v>1241</v>
      </c>
      <c r="AV1720" s="1" t="s">
        <v>38</v>
      </c>
      <c r="BG1720" s="7" t="s">
        <v>1242</v>
      </c>
    </row>
    <row r="1721" spans="1:59" ht="234" x14ac:dyDescent="0.45">
      <c r="A1721" s="5">
        <v>1720</v>
      </c>
      <c r="B1721" s="1" t="s">
        <v>10889</v>
      </c>
      <c r="C1721" s="6"/>
      <c r="E1721" s="1"/>
      <c r="F1721" s="1"/>
      <c r="G1721" s="1"/>
      <c r="J1721" s="1" t="s">
        <v>7559</v>
      </c>
      <c r="K1721" s="11" t="s">
        <v>11831</v>
      </c>
      <c r="P1721" s="7" t="s">
        <v>1241</v>
      </c>
      <c r="AV1721" s="1" t="s">
        <v>38</v>
      </c>
      <c r="BG1721" s="7" t="s">
        <v>1242</v>
      </c>
    </row>
    <row r="1722" spans="1:59" ht="234" x14ac:dyDescent="0.45">
      <c r="A1722" s="5">
        <v>1721</v>
      </c>
      <c r="B1722" s="1" t="s">
        <v>10890</v>
      </c>
      <c r="C1722" s="6"/>
      <c r="E1722" s="1"/>
      <c r="F1722" s="1"/>
      <c r="G1722" s="1"/>
      <c r="J1722" s="1" t="s">
        <v>7559</v>
      </c>
      <c r="K1722" s="11" t="s">
        <v>11832</v>
      </c>
      <c r="P1722" s="7" t="s">
        <v>1241</v>
      </c>
      <c r="AV1722" s="1" t="s">
        <v>38</v>
      </c>
      <c r="BG1722" s="7" t="s">
        <v>1242</v>
      </c>
    </row>
    <row r="1723" spans="1:59" ht="270" x14ac:dyDescent="0.45">
      <c r="A1723" s="5">
        <v>1722</v>
      </c>
      <c r="B1723" s="1" t="s">
        <v>10891</v>
      </c>
      <c r="C1723" s="6"/>
      <c r="E1723" s="1"/>
      <c r="F1723" s="1"/>
      <c r="G1723" s="1"/>
      <c r="J1723" s="1" t="s">
        <v>7559</v>
      </c>
      <c r="K1723" s="11" t="s">
        <v>11833</v>
      </c>
      <c r="P1723" s="7" t="s">
        <v>1241</v>
      </c>
      <c r="AV1723" s="1" t="s">
        <v>38</v>
      </c>
      <c r="BG1723" s="7" t="s">
        <v>1242</v>
      </c>
    </row>
    <row r="1724" spans="1:59" ht="126" x14ac:dyDescent="0.45">
      <c r="A1724" s="5">
        <v>1723</v>
      </c>
      <c r="B1724" s="1" t="s">
        <v>10892</v>
      </c>
      <c r="C1724" s="6"/>
      <c r="E1724" s="1"/>
      <c r="F1724" s="1"/>
      <c r="G1724" s="1"/>
      <c r="J1724" s="1" t="s">
        <v>7559</v>
      </c>
      <c r="K1724" s="2" t="s">
        <v>10302</v>
      </c>
      <c r="P1724" s="7" t="s">
        <v>1241</v>
      </c>
      <c r="AV1724" s="1" t="s">
        <v>38</v>
      </c>
      <c r="BG1724" s="7" t="s">
        <v>1242</v>
      </c>
    </row>
    <row r="1725" spans="1:59" ht="180" x14ac:dyDescent="0.45">
      <c r="A1725" s="5">
        <v>1724</v>
      </c>
      <c r="B1725" s="1" t="s">
        <v>10893</v>
      </c>
      <c r="C1725" s="6"/>
      <c r="E1725" s="1"/>
      <c r="F1725" s="1"/>
      <c r="G1725" s="1"/>
      <c r="J1725" s="1" t="s">
        <v>7559</v>
      </c>
      <c r="K1725" s="2" t="s">
        <v>10303</v>
      </c>
      <c r="P1725" s="7" t="s">
        <v>1241</v>
      </c>
      <c r="AV1725" s="1" t="s">
        <v>38</v>
      </c>
      <c r="BG1725" s="7" t="s">
        <v>1242</v>
      </c>
    </row>
    <row r="1726" spans="1:59" ht="252" x14ac:dyDescent="0.45">
      <c r="A1726" s="5">
        <v>1725</v>
      </c>
      <c r="B1726" s="1" t="s">
        <v>10894</v>
      </c>
      <c r="C1726" s="6"/>
      <c r="E1726" s="1"/>
      <c r="F1726" s="1"/>
      <c r="G1726" s="1"/>
      <c r="J1726" s="1" t="s">
        <v>7559</v>
      </c>
      <c r="K1726" s="11" t="s">
        <v>11834</v>
      </c>
      <c r="P1726" s="7" t="s">
        <v>1241</v>
      </c>
      <c r="AV1726" s="1" t="s">
        <v>38</v>
      </c>
      <c r="BG1726" s="7" t="s">
        <v>1242</v>
      </c>
    </row>
    <row r="1727" spans="1:59" ht="306" x14ac:dyDescent="0.45">
      <c r="A1727" s="5">
        <v>1726</v>
      </c>
      <c r="B1727" s="1" t="s">
        <v>10895</v>
      </c>
      <c r="C1727" s="6"/>
      <c r="E1727" s="1"/>
      <c r="F1727" s="1"/>
      <c r="G1727" s="1"/>
      <c r="J1727" s="1" t="s">
        <v>7559</v>
      </c>
      <c r="K1727" s="11" t="s">
        <v>11835</v>
      </c>
      <c r="P1727" s="7" t="s">
        <v>1241</v>
      </c>
      <c r="AV1727" s="1" t="s">
        <v>38</v>
      </c>
      <c r="BG1727" s="7" t="s">
        <v>1242</v>
      </c>
    </row>
    <row r="1728" spans="1:59" ht="409.6" x14ac:dyDescent="0.45">
      <c r="A1728" s="5">
        <v>1727</v>
      </c>
      <c r="B1728" s="1" t="s">
        <v>10896</v>
      </c>
      <c r="C1728" s="6"/>
      <c r="E1728" s="1"/>
      <c r="F1728" s="1"/>
      <c r="G1728" s="1"/>
      <c r="J1728" s="1" t="s">
        <v>7559</v>
      </c>
      <c r="K1728" s="11" t="s">
        <v>11836</v>
      </c>
      <c r="P1728" s="7" t="s">
        <v>1241</v>
      </c>
      <c r="AV1728" s="1" t="s">
        <v>38</v>
      </c>
      <c r="BG1728" s="7" t="s">
        <v>1242</v>
      </c>
    </row>
    <row r="1729" spans="1:59" ht="409.6" x14ac:dyDescent="0.45">
      <c r="A1729" s="5">
        <v>1728</v>
      </c>
      <c r="B1729" s="1" t="s">
        <v>10897</v>
      </c>
      <c r="C1729" s="6"/>
      <c r="E1729" s="1"/>
      <c r="F1729" s="1"/>
      <c r="G1729" s="1"/>
      <c r="J1729" s="1" t="s">
        <v>7559</v>
      </c>
      <c r="K1729" s="11" t="s">
        <v>11837</v>
      </c>
      <c r="P1729" s="7" t="s">
        <v>1241</v>
      </c>
      <c r="AV1729" s="1" t="s">
        <v>38</v>
      </c>
      <c r="BG1729" s="7" t="s">
        <v>1242</v>
      </c>
    </row>
    <row r="1730" spans="1:59" ht="288" x14ac:dyDescent="0.45">
      <c r="A1730" s="5">
        <v>1729</v>
      </c>
      <c r="B1730" s="1" t="s">
        <v>10898</v>
      </c>
      <c r="C1730" s="6"/>
      <c r="E1730" s="1"/>
      <c r="F1730" s="1"/>
      <c r="G1730" s="1"/>
      <c r="J1730" s="1" t="s">
        <v>7559</v>
      </c>
      <c r="K1730" s="2" t="s">
        <v>10314</v>
      </c>
      <c r="P1730" s="7" t="s">
        <v>1241</v>
      </c>
      <c r="AV1730" s="1" t="s">
        <v>38</v>
      </c>
      <c r="BG1730" s="7" t="s">
        <v>1242</v>
      </c>
    </row>
    <row r="1731" spans="1:59" ht="270" x14ac:dyDescent="0.45">
      <c r="A1731" s="5">
        <v>1730</v>
      </c>
      <c r="B1731" s="1" t="s">
        <v>10899</v>
      </c>
      <c r="C1731" s="6"/>
      <c r="E1731" s="1"/>
      <c r="F1731" s="1"/>
      <c r="G1731" s="1"/>
      <c r="J1731" s="1" t="s">
        <v>7559</v>
      </c>
      <c r="K1731" s="2" t="s">
        <v>10304</v>
      </c>
      <c r="P1731" s="7" t="s">
        <v>1241</v>
      </c>
      <c r="AV1731" s="1" t="s">
        <v>38</v>
      </c>
      <c r="BG1731" s="7" t="s">
        <v>1242</v>
      </c>
    </row>
    <row r="1732" spans="1:59" ht="162" x14ac:dyDescent="0.45">
      <c r="A1732" s="5">
        <v>1731</v>
      </c>
      <c r="B1732" s="1" t="s">
        <v>10900</v>
      </c>
      <c r="C1732" s="6"/>
      <c r="E1732" s="1"/>
      <c r="F1732" s="1"/>
      <c r="G1732" s="1"/>
      <c r="J1732" s="1" t="s">
        <v>7559</v>
      </c>
      <c r="K1732" s="11" t="s">
        <v>11838</v>
      </c>
      <c r="P1732" s="7" t="s">
        <v>1241</v>
      </c>
      <c r="AV1732" s="1" t="s">
        <v>38</v>
      </c>
      <c r="BG1732" s="7" t="s">
        <v>1242</v>
      </c>
    </row>
    <row r="1733" spans="1:59" ht="234" x14ac:dyDescent="0.45">
      <c r="A1733" s="5">
        <v>1732</v>
      </c>
      <c r="B1733" s="1" t="s">
        <v>10901</v>
      </c>
      <c r="C1733" s="6"/>
      <c r="E1733" s="1"/>
      <c r="F1733" s="1"/>
      <c r="G1733" s="1"/>
      <c r="J1733" s="1" t="s">
        <v>7559</v>
      </c>
      <c r="K1733" s="11" t="s">
        <v>11839</v>
      </c>
      <c r="P1733" s="7" t="s">
        <v>1241</v>
      </c>
      <c r="AV1733" s="1" t="s">
        <v>38</v>
      </c>
      <c r="BG1733" s="7" t="s">
        <v>1242</v>
      </c>
    </row>
    <row r="1734" spans="1:59" ht="234" x14ac:dyDescent="0.45">
      <c r="A1734" s="5">
        <v>1733</v>
      </c>
      <c r="B1734" s="1" t="s">
        <v>10902</v>
      </c>
      <c r="C1734" s="6"/>
      <c r="E1734" s="1"/>
      <c r="F1734" s="1"/>
      <c r="G1734" s="1"/>
      <c r="J1734" s="1" t="s">
        <v>7559</v>
      </c>
      <c r="K1734" s="11" t="s">
        <v>11840</v>
      </c>
      <c r="P1734" s="7" t="s">
        <v>1241</v>
      </c>
      <c r="AV1734" s="1" t="s">
        <v>38</v>
      </c>
      <c r="BG1734" s="7" t="s">
        <v>1242</v>
      </c>
    </row>
    <row r="1735" spans="1:59" ht="198" x14ac:dyDescent="0.45">
      <c r="A1735" s="5">
        <v>1734</v>
      </c>
      <c r="B1735" s="1" t="s">
        <v>10903</v>
      </c>
      <c r="C1735" s="6"/>
      <c r="E1735" s="1"/>
      <c r="F1735" s="1"/>
      <c r="G1735" s="1"/>
      <c r="J1735" s="1" t="s">
        <v>7559</v>
      </c>
      <c r="K1735" s="11" t="s">
        <v>11841</v>
      </c>
      <c r="P1735" s="7" t="s">
        <v>1241</v>
      </c>
      <c r="AV1735" s="1" t="s">
        <v>38</v>
      </c>
      <c r="BG1735" s="7" t="s">
        <v>1242</v>
      </c>
    </row>
    <row r="1736" spans="1:59" ht="342" x14ac:dyDescent="0.45">
      <c r="A1736" s="5">
        <v>1735</v>
      </c>
      <c r="B1736" s="1" t="s">
        <v>10904</v>
      </c>
      <c r="C1736" s="6"/>
      <c r="E1736" s="1"/>
      <c r="F1736" s="1"/>
      <c r="G1736" s="1"/>
      <c r="J1736" s="1" t="s">
        <v>7559</v>
      </c>
      <c r="K1736" s="11" t="s">
        <v>11842</v>
      </c>
      <c r="P1736" s="7" t="s">
        <v>1241</v>
      </c>
      <c r="AV1736" s="1" t="s">
        <v>38</v>
      </c>
      <c r="BG1736" s="7" t="s">
        <v>1242</v>
      </c>
    </row>
    <row r="1737" spans="1:59" ht="409.6" x14ac:dyDescent="0.45">
      <c r="A1737" s="5">
        <v>1736</v>
      </c>
      <c r="B1737" s="1" t="s">
        <v>10905</v>
      </c>
      <c r="C1737" s="6"/>
      <c r="E1737" s="1"/>
      <c r="F1737" s="1"/>
      <c r="G1737" s="1"/>
      <c r="J1737" s="1" t="s">
        <v>7559</v>
      </c>
      <c r="K1737" s="11" t="s">
        <v>11843</v>
      </c>
      <c r="P1737" s="7" t="s">
        <v>1241</v>
      </c>
      <c r="AV1737" s="1" t="s">
        <v>38</v>
      </c>
      <c r="BG1737" s="7" t="s">
        <v>1242</v>
      </c>
    </row>
    <row r="1738" spans="1:59" ht="409.6" x14ac:dyDescent="0.45">
      <c r="A1738" s="5">
        <v>1737</v>
      </c>
      <c r="B1738" s="1" t="s">
        <v>10906</v>
      </c>
      <c r="C1738" s="6"/>
      <c r="E1738" s="1"/>
      <c r="F1738" s="1"/>
      <c r="G1738" s="1"/>
      <c r="J1738" s="1" t="s">
        <v>7559</v>
      </c>
      <c r="K1738" s="11" t="s">
        <v>11844</v>
      </c>
      <c r="P1738" s="7" t="s">
        <v>1241</v>
      </c>
      <c r="AV1738" s="1" t="s">
        <v>38</v>
      </c>
      <c r="BG1738" s="7" t="s">
        <v>1242</v>
      </c>
    </row>
    <row r="1739" spans="1:59" ht="144" x14ac:dyDescent="0.45">
      <c r="A1739" s="5">
        <v>1738</v>
      </c>
      <c r="B1739" s="1" t="s">
        <v>10907</v>
      </c>
      <c r="C1739" s="6"/>
      <c r="E1739" s="1"/>
      <c r="F1739" s="1"/>
      <c r="G1739" s="1"/>
      <c r="J1739" s="1" t="s">
        <v>7559</v>
      </c>
      <c r="K1739" s="11" t="s">
        <v>11845</v>
      </c>
      <c r="P1739" s="7" t="s">
        <v>1241</v>
      </c>
      <c r="AV1739" s="1" t="s">
        <v>38</v>
      </c>
      <c r="BG1739" s="7" t="s">
        <v>1242</v>
      </c>
    </row>
    <row r="1740" spans="1:59" ht="252" x14ac:dyDescent="0.45">
      <c r="A1740" s="5">
        <v>1739</v>
      </c>
      <c r="B1740" s="1" t="s">
        <v>10908</v>
      </c>
      <c r="C1740" s="6"/>
      <c r="E1740" s="1"/>
      <c r="F1740" s="1"/>
      <c r="G1740" s="1"/>
      <c r="J1740" s="1" t="s">
        <v>7559</v>
      </c>
      <c r="K1740" s="11" t="s">
        <v>11846</v>
      </c>
      <c r="P1740" s="7" t="s">
        <v>1241</v>
      </c>
      <c r="AV1740" s="1" t="s">
        <v>38</v>
      </c>
      <c r="BG1740" s="7" t="s">
        <v>1242</v>
      </c>
    </row>
    <row r="1741" spans="1:59" ht="144" x14ac:dyDescent="0.45">
      <c r="A1741" s="5">
        <v>1740</v>
      </c>
      <c r="B1741" s="1" t="s">
        <v>10909</v>
      </c>
      <c r="C1741" s="6"/>
      <c r="E1741" s="1"/>
      <c r="F1741" s="1"/>
      <c r="G1741" s="1"/>
      <c r="J1741" s="1" t="s">
        <v>7559</v>
      </c>
      <c r="K1741" s="11" t="s">
        <v>11847</v>
      </c>
      <c r="P1741" s="7" t="s">
        <v>1241</v>
      </c>
      <c r="AV1741" s="1" t="s">
        <v>38</v>
      </c>
      <c r="BG1741" s="7" t="s">
        <v>1242</v>
      </c>
    </row>
    <row r="1742" spans="1:59" ht="270" x14ac:dyDescent="0.45">
      <c r="A1742" s="5">
        <v>1741</v>
      </c>
      <c r="B1742" s="1" t="s">
        <v>10910</v>
      </c>
      <c r="C1742" s="6"/>
      <c r="E1742" s="1"/>
      <c r="F1742" s="1"/>
      <c r="G1742" s="1"/>
      <c r="J1742" s="1" t="s">
        <v>7559</v>
      </c>
      <c r="K1742" s="2" t="s">
        <v>10338</v>
      </c>
      <c r="P1742" s="7" t="s">
        <v>1241</v>
      </c>
      <c r="AV1742" s="1" t="s">
        <v>38</v>
      </c>
      <c r="BG1742" s="7" t="s">
        <v>1242</v>
      </c>
    </row>
    <row r="1743" spans="1:59" ht="270" x14ac:dyDescent="0.45">
      <c r="A1743" s="5">
        <v>1742</v>
      </c>
      <c r="B1743" s="1" t="s">
        <v>10911</v>
      </c>
      <c r="C1743" s="6"/>
      <c r="E1743" s="1"/>
      <c r="F1743" s="1"/>
      <c r="G1743" s="1"/>
      <c r="J1743" s="1" t="s">
        <v>7559</v>
      </c>
      <c r="K1743" s="2" t="s">
        <v>10339</v>
      </c>
      <c r="P1743" s="7" t="s">
        <v>1241</v>
      </c>
      <c r="AV1743" s="1" t="s">
        <v>38</v>
      </c>
      <c r="BG1743" s="7" t="s">
        <v>1242</v>
      </c>
    </row>
    <row r="1744" spans="1:59" ht="198" x14ac:dyDescent="0.45">
      <c r="A1744" s="5">
        <v>1743</v>
      </c>
      <c r="B1744" s="1" t="s">
        <v>10912</v>
      </c>
      <c r="C1744" s="6"/>
      <c r="E1744" s="1"/>
      <c r="F1744" s="1"/>
      <c r="G1744" s="1"/>
      <c r="J1744" s="1" t="s">
        <v>7559</v>
      </c>
      <c r="K1744" s="11" t="s">
        <v>11848</v>
      </c>
      <c r="P1744" s="7" t="s">
        <v>1241</v>
      </c>
      <c r="AV1744" s="1" t="s">
        <v>38</v>
      </c>
      <c r="BG1744" s="7" t="s">
        <v>1242</v>
      </c>
    </row>
    <row r="1745" spans="1:59" ht="234" x14ac:dyDescent="0.45">
      <c r="A1745" s="5">
        <v>1744</v>
      </c>
      <c r="B1745" s="1" t="s">
        <v>10913</v>
      </c>
      <c r="C1745" s="6"/>
      <c r="E1745" s="1"/>
      <c r="F1745" s="1"/>
      <c r="G1745" s="1"/>
      <c r="J1745" s="1" t="s">
        <v>7559</v>
      </c>
      <c r="K1745" s="11" t="s">
        <v>11849</v>
      </c>
      <c r="P1745" s="7" t="s">
        <v>1241</v>
      </c>
      <c r="AV1745" s="1" t="s">
        <v>38</v>
      </c>
      <c r="BG1745" s="7" t="s">
        <v>1242</v>
      </c>
    </row>
    <row r="1746" spans="1:59" ht="396" x14ac:dyDescent="0.45">
      <c r="A1746" s="5">
        <v>1745</v>
      </c>
      <c r="B1746" s="1" t="s">
        <v>10914</v>
      </c>
      <c r="C1746" s="6"/>
      <c r="E1746" s="1"/>
      <c r="F1746" s="1"/>
      <c r="G1746" s="1"/>
      <c r="J1746" s="1" t="s">
        <v>7559</v>
      </c>
      <c r="K1746" s="11" t="s">
        <v>11850</v>
      </c>
      <c r="P1746" s="7" t="s">
        <v>1241</v>
      </c>
      <c r="AV1746" s="1" t="s">
        <v>38</v>
      </c>
      <c r="BG1746" s="7" t="s">
        <v>1242</v>
      </c>
    </row>
    <row r="1747" spans="1:59" ht="360" x14ac:dyDescent="0.45">
      <c r="A1747" s="5">
        <v>1746</v>
      </c>
      <c r="B1747" s="1" t="s">
        <v>10915</v>
      </c>
      <c r="C1747" s="6"/>
      <c r="E1747" s="1"/>
      <c r="F1747" s="1"/>
      <c r="G1747" s="1"/>
      <c r="J1747" s="1" t="s">
        <v>7559</v>
      </c>
      <c r="K1747" s="11" t="s">
        <v>11851</v>
      </c>
      <c r="P1747" s="7" t="s">
        <v>1241</v>
      </c>
      <c r="AV1747" s="1" t="s">
        <v>38</v>
      </c>
      <c r="BG1747" s="7" t="s">
        <v>1242</v>
      </c>
    </row>
    <row r="1748" spans="1:59" ht="270" x14ac:dyDescent="0.45">
      <c r="A1748" s="5">
        <v>1747</v>
      </c>
      <c r="B1748" s="1" t="s">
        <v>10916</v>
      </c>
      <c r="C1748" s="6"/>
      <c r="E1748" s="1"/>
      <c r="F1748" s="1"/>
      <c r="G1748" s="1"/>
      <c r="J1748" s="1" t="s">
        <v>7559</v>
      </c>
      <c r="K1748" s="11" t="s">
        <v>11852</v>
      </c>
      <c r="P1748" s="7" t="s">
        <v>1241</v>
      </c>
      <c r="AV1748" s="1" t="s">
        <v>38</v>
      </c>
      <c r="BG1748" s="7" t="s">
        <v>1242</v>
      </c>
    </row>
    <row r="1749" spans="1:59" ht="108" x14ac:dyDescent="0.45">
      <c r="A1749" s="5">
        <v>1748</v>
      </c>
      <c r="B1749" s="1" t="s">
        <v>10917</v>
      </c>
      <c r="C1749" s="6"/>
      <c r="E1749" s="1"/>
      <c r="F1749" s="1"/>
      <c r="G1749" s="1"/>
      <c r="J1749" s="1" t="s">
        <v>7559</v>
      </c>
      <c r="K1749" s="11" t="s">
        <v>11853</v>
      </c>
      <c r="P1749" s="7" t="s">
        <v>1241</v>
      </c>
      <c r="AV1749" s="1" t="s">
        <v>38</v>
      </c>
      <c r="BG1749" s="7" t="s">
        <v>1242</v>
      </c>
    </row>
    <row r="1750" spans="1:59" ht="270" x14ac:dyDescent="0.45">
      <c r="A1750" s="5">
        <v>1749</v>
      </c>
      <c r="B1750" s="1" t="s">
        <v>10918</v>
      </c>
      <c r="C1750" s="6"/>
      <c r="E1750" s="1"/>
      <c r="F1750" s="1"/>
      <c r="G1750" s="1"/>
      <c r="J1750" s="1" t="s">
        <v>7559</v>
      </c>
      <c r="K1750" s="11" t="s">
        <v>11854</v>
      </c>
      <c r="P1750" s="7" t="s">
        <v>1241</v>
      </c>
      <c r="AV1750" s="1" t="s">
        <v>38</v>
      </c>
      <c r="BG1750" s="7" t="s">
        <v>1242</v>
      </c>
    </row>
    <row r="1751" spans="1:59" ht="252" x14ac:dyDescent="0.45">
      <c r="A1751" s="5">
        <v>1750</v>
      </c>
      <c r="B1751" s="1" t="s">
        <v>10919</v>
      </c>
      <c r="C1751" s="6"/>
      <c r="E1751" s="1"/>
      <c r="F1751" s="1"/>
      <c r="G1751" s="1"/>
      <c r="J1751" s="1" t="s">
        <v>7559</v>
      </c>
      <c r="K1751" s="11" t="s">
        <v>11855</v>
      </c>
      <c r="P1751" s="7" t="s">
        <v>1241</v>
      </c>
      <c r="AV1751" s="1" t="s">
        <v>38</v>
      </c>
      <c r="BG1751" s="7" t="s">
        <v>1242</v>
      </c>
    </row>
    <row r="1752" spans="1:59" ht="409.6" x14ac:dyDescent="0.45">
      <c r="A1752" s="5">
        <v>1751</v>
      </c>
      <c r="B1752" s="1" t="s">
        <v>10920</v>
      </c>
      <c r="C1752" s="6"/>
      <c r="E1752" s="1"/>
      <c r="F1752" s="1"/>
      <c r="G1752" s="1"/>
      <c r="J1752" s="1" t="s">
        <v>7559</v>
      </c>
      <c r="K1752" s="11" t="s">
        <v>11856</v>
      </c>
      <c r="P1752" s="7" t="s">
        <v>1241</v>
      </c>
      <c r="AV1752" s="1" t="s">
        <v>38</v>
      </c>
      <c r="BG1752" s="7" t="s">
        <v>1242</v>
      </c>
    </row>
    <row r="1753" spans="1:59" ht="409.6" x14ac:dyDescent="0.45">
      <c r="A1753" s="5">
        <v>1752</v>
      </c>
      <c r="B1753" s="1" t="s">
        <v>10921</v>
      </c>
      <c r="C1753" s="6"/>
      <c r="E1753" s="1"/>
      <c r="F1753" s="1"/>
      <c r="G1753" s="1"/>
      <c r="J1753" s="1" t="s">
        <v>7559</v>
      </c>
      <c r="K1753" s="11" t="s">
        <v>11857</v>
      </c>
      <c r="P1753" s="7" t="s">
        <v>1241</v>
      </c>
      <c r="AV1753" s="1" t="s">
        <v>38</v>
      </c>
      <c r="BG1753" s="7" t="s">
        <v>1242</v>
      </c>
    </row>
    <row r="1754" spans="1:59" ht="288" x14ac:dyDescent="0.45">
      <c r="A1754" s="5">
        <v>1753</v>
      </c>
      <c r="B1754" s="1" t="s">
        <v>10922</v>
      </c>
      <c r="C1754" s="6"/>
      <c r="E1754" s="1"/>
      <c r="F1754" s="1"/>
      <c r="G1754" s="1"/>
      <c r="J1754" s="1" t="s">
        <v>7559</v>
      </c>
      <c r="K1754" s="2" t="s">
        <v>10340</v>
      </c>
      <c r="P1754" s="7" t="s">
        <v>1241</v>
      </c>
      <c r="AV1754" s="1" t="s">
        <v>38</v>
      </c>
      <c r="BG1754" s="7" t="s">
        <v>1242</v>
      </c>
    </row>
    <row r="1755" spans="1:59" ht="288" x14ac:dyDescent="0.45">
      <c r="A1755" s="5">
        <v>1754</v>
      </c>
      <c r="B1755" s="1" t="s">
        <v>10923</v>
      </c>
      <c r="C1755" s="6"/>
      <c r="E1755" s="1"/>
      <c r="F1755" s="1"/>
      <c r="G1755" s="1"/>
      <c r="J1755" s="1" t="s">
        <v>7559</v>
      </c>
      <c r="K1755" s="2" t="s">
        <v>10341</v>
      </c>
      <c r="P1755" s="7" t="s">
        <v>1241</v>
      </c>
      <c r="AV1755" s="1" t="s">
        <v>38</v>
      </c>
      <c r="BG1755" s="7" t="s">
        <v>1242</v>
      </c>
    </row>
    <row r="1756" spans="1:59" ht="216" x14ac:dyDescent="0.45">
      <c r="A1756" s="5">
        <v>1755</v>
      </c>
      <c r="B1756" s="1" t="s">
        <v>10924</v>
      </c>
      <c r="C1756" s="6"/>
      <c r="E1756" s="1"/>
      <c r="F1756" s="1"/>
      <c r="G1756" s="1"/>
      <c r="J1756" s="1" t="s">
        <v>7559</v>
      </c>
      <c r="K1756" s="11" t="s">
        <v>11858</v>
      </c>
      <c r="P1756" s="7" t="s">
        <v>1241</v>
      </c>
      <c r="AV1756" s="1" t="s">
        <v>38</v>
      </c>
      <c r="BG1756" s="7" t="s">
        <v>1242</v>
      </c>
    </row>
    <row r="1757" spans="1:59" ht="198" x14ac:dyDescent="0.45">
      <c r="A1757" s="5">
        <v>1756</v>
      </c>
      <c r="B1757" s="1" t="s">
        <v>10925</v>
      </c>
      <c r="C1757" s="6"/>
      <c r="E1757" s="1"/>
      <c r="F1757" s="1"/>
      <c r="G1757" s="1"/>
      <c r="J1757" s="1" t="s">
        <v>7559</v>
      </c>
      <c r="K1757" s="11" t="s">
        <v>11859</v>
      </c>
      <c r="P1757" s="7" t="s">
        <v>1241</v>
      </c>
      <c r="AV1757" s="1" t="s">
        <v>38</v>
      </c>
      <c r="BG1757" s="7" t="s">
        <v>1242</v>
      </c>
    </row>
    <row r="1758" spans="1:59" ht="180" x14ac:dyDescent="0.45">
      <c r="A1758" s="5">
        <v>1757</v>
      </c>
      <c r="B1758" s="1" t="s">
        <v>10926</v>
      </c>
      <c r="C1758" s="6"/>
      <c r="E1758" s="1"/>
      <c r="F1758" s="1"/>
      <c r="G1758" s="1"/>
      <c r="J1758" s="1" t="s">
        <v>7559</v>
      </c>
      <c r="K1758" s="11" t="s">
        <v>11860</v>
      </c>
      <c r="P1758" s="7" t="s">
        <v>1241</v>
      </c>
      <c r="AV1758" s="1" t="s">
        <v>38</v>
      </c>
      <c r="BG1758" s="7" t="s">
        <v>1242</v>
      </c>
    </row>
    <row r="1759" spans="1:59" ht="288" x14ac:dyDescent="0.45">
      <c r="A1759" s="5">
        <v>1758</v>
      </c>
      <c r="B1759" s="1" t="s">
        <v>10927</v>
      </c>
      <c r="C1759" s="6"/>
      <c r="E1759" s="1"/>
      <c r="F1759" s="1"/>
      <c r="G1759" s="1"/>
      <c r="J1759" s="1" t="s">
        <v>7559</v>
      </c>
      <c r="K1759" s="11" t="s">
        <v>11861</v>
      </c>
      <c r="P1759" s="7" t="s">
        <v>1241</v>
      </c>
      <c r="AV1759" s="1" t="s">
        <v>38</v>
      </c>
      <c r="BG1759" s="7" t="s">
        <v>1242</v>
      </c>
    </row>
    <row r="1760" spans="1:59" ht="144" x14ac:dyDescent="0.45">
      <c r="A1760" s="5">
        <v>1759</v>
      </c>
      <c r="B1760" s="1" t="s">
        <v>10928</v>
      </c>
      <c r="C1760" s="6"/>
      <c r="E1760" s="1"/>
      <c r="F1760" s="1"/>
      <c r="G1760" s="1"/>
      <c r="J1760" s="1" t="s">
        <v>7559</v>
      </c>
      <c r="K1760" s="11" t="s">
        <v>11862</v>
      </c>
      <c r="P1760" s="7" t="s">
        <v>1241</v>
      </c>
      <c r="AV1760" s="1" t="s">
        <v>38</v>
      </c>
      <c r="BG1760" s="7" t="s">
        <v>1242</v>
      </c>
    </row>
    <row r="1761" spans="1:59" ht="180" x14ac:dyDescent="0.45">
      <c r="A1761" s="5">
        <v>1760</v>
      </c>
      <c r="B1761" s="1" t="s">
        <v>10929</v>
      </c>
      <c r="C1761" s="6"/>
      <c r="E1761" s="1"/>
      <c r="F1761" s="1"/>
      <c r="G1761" s="1"/>
      <c r="J1761" s="1" t="s">
        <v>7559</v>
      </c>
      <c r="K1761" s="11" t="s">
        <v>11863</v>
      </c>
      <c r="P1761" s="7" t="s">
        <v>1241</v>
      </c>
      <c r="AV1761" s="1" t="s">
        <v>38</v>
      </c>
      <c r="BG1761" s="7" t="s">
        <v>1242</v>
      </c>
    </row>
    <row r="1762" spans="1:59" ht="288" x14ac:dyDescent="0.45">
      <c r="A1762" s="5">
        <v>1761</v>
      </c>
      <c r="B1762" s="1" t="s">
        <v>10930</v>
      </c>
      <c r="C1762" s="6"/>
      <c r="E1762" s="1"/>
      <c r="F1762" s="1"/>
      <c r="G1762" s="1"/>
      <c r="J1762" s="1" t="s">
        <v>7559</v>
      </c>
      <c r="K1762" s="11" t="s">
        <v>11864</v>
      </c>
      <c r="P1762" s="7" t="s">
        <v>1241</v>
      </c>
      <c r="AV1762" s="1" t="s">
        <v>38</v>
      </c>
      <c r="BG1762" s="7" t="s">
        <v>1242</v>
      </c>
    </row>
    <row r="1763" spans="1:59" ht="270" x14ac:dyDescent="0.45">
      <c r="A1763" s="5">
        <v>1762</v>
      </c>
      <c r="B1763" s="1" t="s">
        <v>10931</v>
      </c>
      <c r="C1763" s="6"/>
      <c r="E1763" s="1"/>
      <c r="F1763" s="1"/>
      <c r="G1763" s="1"/>
      <c r="J1763" s="1" t="s">
        <v>7559</v>
      </c>
      <c r="K1763" s="11" t="s">
        <v>11865</v>
      </c>
      <c r="P1763" s="7" t="s">
        <v>1241</v>
      </c>
      <c r="AV1763" s="1" t="s">
        <v>38</v>
      </c>
      <c r="BG1763" s="7" t="s">
        <v>1242</v>
      </c>
    </row>
    <row r="1764" spans="1:59" ht="54" x14ac:dyDescent="0.45">
      <c r="A1764" s="5">
        <v>1763</v>
      </c>
      <c r="B1764" s="1" t="s">
        <v>10932</v>
      </c>
      <c r="C1764" s="6"/>
      <c r="E1764" s="1"/>
      <c r="F1764" s="1"/>
      <c r="G1764" s="1"/>
      <c r="J1764" s="1" t="s">
        <v>7559</v>
      </c>
      <c r="K1764" s="2" t="s">
        <v>10317</v>
      </c>
      <c r="P1764" s="7" t="s">
        <v>1241</v>
      </c>
      <c r="AV1764" s="1" t="s">
        <v>38</v>
      </c>
      <c r="BG1764" s="7" t="s">
        <v>1242</v>
      </c>
    </row>
    <row r="1765" spans="1:59" ht="72" x14ac:dyDescent="0.45">
      <c r="A1765" s="5">
        <v>1764</v>
      </c>
      <c r="B1765" s="1" t="s">
        <v>10933</v>
      </c>
      <c r="C1765" s="6"/>
      <c r="E1765" s="1"/>
      <c r="F1765" s="1"/>
      <c r="G1765" s="1"/>
      <c r="J1765" s="1" t="s">
        <v>7559</v>
      </c>
      <c r="K1765" s="2" t="s">
        <v>10318</v>
      </c>
      <c r="P1765" s="7" t="s">
        <v>1241</v>
      </c>
      <c r="AV1765" s="1" t="s">
        <v>38</v>
      </c>
      <c r="BG1765" s="7" t="s">
        <v>1242</v>
      </c>
    </row>
    <row r="1766" spans="1:59" ht="198" x14ac:dyDescent="0.45">
      <c r="A1766" s="5">
        <v>1765</v>
      </c>
      <c r="B1766" s="1" t="s">
        <v>10934</v>
      </c>
      <c r="C1766" s="6"/>
      <c r="E1766" s="1"/>
      <c r="F1766" s="1"/>
      <c r="G1766" s="1"/>
      <c r="J1766" s="1" t="s">
        <v>7559</v>
      </c>
      <c r="K1766" s="11" t="s">
        <v>11866</v>
      </c>
      <c r="P1766" s="7" t="s">
        <v>1241</v>
      </c>
      <c r="AV1766" s="1" t="s">
        <v>38</v>
      </c>
      <c r="BG1766" s="7" t="s">
        <v>1242</v>
      </c>
    </row>
    <row r="1767" spans="1:59" ht="126" x14ac:dyDescent="0.45">
      <c r="A1767" s="5">
        <v>1766</v>
      </c>
      <c r="B1767" s="1" t="s">
        <v>10935</v>
      </c>
      <c r="C1767" s="6"/>
      <c r="E1767" s="1"/>
      <c r="F1767" s="1"/>
      <c r="G1767" s="1"/>
      <c r="J1767" s="1" t="s">
        <v>7559</v>
      </c>
      <c r="K1767" s="11" t="s">
        <v>11867</v>
      </c>
      <c r="P1767" s="7" t="s">
        <v>1241</v>
      </c>
      <c r="AV1767" s="1" t="s">
        <v>38</v>
      </c>
      <c r="BG1767" s="7" t="s">
        <v>1242</v>
      </c>
    </row>
    <row r="1768" spans="1:59" ht="144" x14ac:dyDescent="0.45">
      <c r="A1768" s="5">
        <v>1767</v>
      </c>
      <c r="B1768" s="1" t="s">
        <v>10936</v>
      </c>
      <c r="C1768" s="6"/>
      <c r="E1768" s="1"/>
      <c r="F1768" s="1"/>
      <c r="G1768" s="1"/>
      <c r="J1768" s="1" t="s">
        <v>7559</v>
      </c>
      <c r="K1768" s="11" t="s">
        <v>11868</v>
      </c>
      <c r="P1768" s="7" t="s">
        <v>1241</v>
      </c>
      <c r="AV1768" s="1" t="s">
        <v>38</v>
      </c>
      <c r="BG1768" s="7" t="s">
        <v>1242</v>
      </c>
    </row>
    <row r="1769" spans="1:59" ht="144" x14ac:dyDescent="0.45">
      <c r="A1769" s="5">
        <v>1768</v>
      </c>
      <c r="B1769" s="1" t="s">
        <v>10937</v>
      </c>
      <c r="C1769" s="6"/>
      <c r="E1769" s="1"/>
      <c r="F1769" s="1"/>
      <c r="G1769" s="1"/>
      <c r="J1769" s="1" t="s">
        <v>7559</v>
      </c>
      <c r="K1769" s="11" t="s">
        <v>11869</v>
      </c>
      <c r="P1769" s="7" t="s">
        <v>1241</v>
      </c>
      <c r="AV1769" s="1" t="s">
        <v>38</v>
      </c>
      <c r="BG1769" s="7" t="s">
        <v>1242</v>
      </c>
    </row>
    <row r="1770" spans="1:59" ht="342" x14ac:dyDescent="0.45">
      <c r="A1770" s="5">
        <v>1769</v>
      </c>
      <c r="B1770" s="1" t="s">
        <v>10938</v>
      </c>
      <c r="C1770" s="6"/>
      <c r="E1770" s="1"/>
      <c r="F1770" s="1"/>
      <c r="G1770" s="1"/>
      <c r="J1770" s="1" t="s">
        <v>7559</v>
      </c>
      <c r="K1770" s="11" t="s">
        <v>11870</v>
      </c>
      <c r="P1770" s="7" t="s">
        <v>1241</v>
      </c>
      <c r="AV1770" s="1" t="s">
        <v>38</v>
      </c>
      <c r="BG1770" s="7" t="s">
        <v>1242</v>
      </c>
    </row>
    <row r="1771" spans="1:59" ht="342" x14ac:dyDescent="0.45">
      <c r="A1771" s="5">
        <v>1770</v>
      </c>
      <c r="B1771" s="1" t="s">
        <v>10939</v>
      </c>
      <c r="C1771" s="6"/>
      <c r="E1771" s="1"/>
      <c r="F1771" s="1"/>
      <c r="G1771" s="1"/>
      <c r="J1771" s="1" t="s">
        <v>7559</v>
      </c>
      <c r="K1771" s="11" t="s">
        <v>11871</v>
      </c>
      <c r="P1771" s="7" t="s">
        <v>1241</v>
      </c>
      <c r="AV1771" s="1" t="s">
        <v>38</v>
      </c>
      <c r="BG1771" s="7" t="s">
        <v>1242</v>
      </c>
    </row>
    <row r="1772" spans="1:59" ht="234" x14ac:dyDescent="0.45">
      <c r="A1772" s="5">
        <v>1771</v>
      </c>
      <c r="B1772" s="1" t="s">
        <v>10940</v>
      </c>
      <c r="C1772" s="6"/>
      <c r="E1772" s="1"/>
      <c r="F1772" s="1"/>
      <c r="G1772" s="1"/>
      <c r="J1772" s="1" t="s">
        <v>7559</v>
      </c>
      <c r="K1772" s="11" t="s">
        <v>11872</v>
      </c>
      <c r="P1772" s="7" t="s">
        <v>1241</v>
      </c>
      <c r="AV1772" s="1" t="s">
        <v>38</v>
      </c>
      <c r="BG1772" s="7" t="s">
        <v>1242</v>
      </c>
    </row>
    <row r="1773" spans="1:59" ht="126" x14ac:dyDescent="0.45">
      <c r="A1773" s="5">
        <v>1772</v>
      </c>
      <c r="B1773" s="1" t="s">
        <v>10941</v>
      </c>
      <c r="C1773" s="6"/>
      <c r="E1773" s="1"/>
      <c r="F1773" s="1"/>
      <c r="G1773" s="1"/>
      <c r="J1773" s="1" t="s">
        <v>7559</v>
      </c>
      <c r="K1773" s="11" t="s">
        <v>11873</v>
      </c>
      <c r="P1773" s="7" t="s">
        <v>1241</v>
      </c>
      <c r="AV1773" s="1" t="s">
        <v>38</v>
      </c>
      <c r="BG1773" s="7" t="s">
        <v>1242</v>
      </c>
    </row>
    <row r="1774" spans="1:59" ht="288" x14ac:dyDescent="0.45">
      <c r="A1774" s="5">
        <v>1773</v>
      </c>
      <c r="B1774" s="1" t="s">
        <v>10942</v>
      </c>
      <c r="C1774" s="6"/>
      <c r="E1774" s="1"/>
      <c r="F1774" s="1"/>
      <c r="G1774" s="1"/>
      <c r="J1774" s="1" t="s">
        <v>7559</v>
      </c>
      <c r="K1774" s="11" t="s">
        <v>11874</v>
      </c>
      <c r="P1774" s="7" t="s">
        <v>1241</v>
      </c>
      <c r="AV1774" s="1" t="s">
        <v>38</v>
      </c>
      <c r="BG1774" s="7" t="s">
        <v>1242</v>
      </c>
    </row>
    <row r="1775" spans="1:59" ht="409.6" x14ac:dyDescent="0.45">
      <c r="A1775" s="5">
        <v>1774</v>
      </c>
      <c r="B1775" s="1" t="s">
        <v>10943</v>
      </c>
      <c r="C1775" s="6"/>
      <c r="E1775" s="1"/>
      <c r="F1775" s="1"/>
      <c r="G1775" s="1"/>
      <c r="J1775" s="1" t="s">
        <v>7559</v>
      </c>
      <c r="K1775" s="11" t="s">
        <v>11875</v>
      </c>
      <c r="P1775" s="7" t="s">
        <v>1241</v>
      </c>
      <c r="AV1775" s="1" t="s">
        <v>38</v>
      </c>
      <c r="BG1775" s="7" t="s">
        <v>1242</v>
      </c>
    </row>
    <row r="1776" spans="1:59" ht="270" x14ac:dyDescent="0.45">
      <c r="A1776" s="5">
        <v>1775</v>
      </c>
      <c r="B1776" s="1" t="s">
        <v>10944</v>
      </c>
      <c r="C1776" s="6"/>
      <c r="E1776" s="1"/>
      <c r="F1776" s="1"/>
      <c r="G1776" s="1"/>
      <c r="J1776" s="1" t="s">
        <v>7559</v>
      </c>
      <c r="K1776" s="2" t="s">
        <v>10319</v>
      </c>
      <c r="P1776" s="7" t="s">
        <v>1241</v>
      </c>
      <c r="AV1776" s="1" t="s">
        <v>38</v>
      </c>
      <c r="BG1776" s="7" t="s">
        <v>1242</v>
      </c>
    </row>
    <row r="1777" spans="1:59" ht="270" x14ac:dyDescent="0.45">
      <c r="A1777" s="5">
        <v>1776</v>
      </c>
      <c r="B1777" s="1" t="s">
        <v>10945</v>
      </c>
      <c r="C1777" s="6"/>
      <c r="E1777" s="1"/>
      <c r="F1777" s="1"/>
      <c r="G1777" s="1"/>
      <c r="J1777" s="1" t="s">
        <v>7559</v>
      </c>
      <c r="K1777" s="2" t="s">
        <v>10320</v>
      </c>
      <c r="P1777" s="7" t="s">
        <v>1241</v>
      </c>
      <c r="AV1777" s="1" t="s">
        <v>38</v>
      </c>
      <c r="BG1777" s="7" t="s">
        <v>1242</v>
      </c>
    </row>
    <row r="1778" spans="1:59" ht="360" x14ac:dyDescent="0.45">
      <c r="A1778" s="5">
        <v>1777</v>
      </c>
      <c r="B1778" s="1" t="s">
        <v>10946</v>
      </c>
      <c r="C1778" s="6"/>
      <c r="E1778" s="1"/>
      <c r="F1778" s="1"/>
      <c r="G1778" s="1"/>
      <c r="J1778" s="1" t="s">
        <v>7559</v>
      </c>
      <c r="K1778" s="11" t="s">
        <v>11876</v>
      </c>
      <c r="P1778" s="7" t="s">
        <v>1241</v>
      </c>
      <c r="AV1778" s="1" t="s">
        <v>38</v>
      </c>
      <c r="BG1778" s="7" t="s">
        <v>1242</v>
      </c>
    </row>
    <row r="1779" spans="1:59" ht="360" x14ac:dyDescent="0.45">
      <c r="A1779" s="5">
        <v>1778</v>
      </c>
      <c r="B1779" s="1" t="s">
        <v>10947</v>
      </c>
      <c r="C1779" s="6"/>
      <c r="E1779" s="1"/>
      <c r="F1779" s="1"/>
      <c r="G1779" s="1"/>
      <c r="J1779" s="1" t="s">
        <v>7559</v>
      </c>
      <c r="K1779" s="11" t="s">
        <v>11877</v>
      </c>
      <c r="P1779" s="7" t="s">
        <v>1241</v>
      </c>
      <c r="AV1779" s="1" t="s">
        <v>38</v>
      </c>
      <c r="BG1779" s="7" t="s">
        <v>1242</v>
      </c>
    </row>
    <row r="1780" spans="1:59" ht="90" x14ac:dyDescent="0.45">
      <c r="A1780" s="5">
        <v>1779</v>
      </c>
      <c r="B1780" s="1" t="s">
        <v>10948</v>
      </c>
      <c r="C1780" s="6"/>
      <c r="E1780" s="1"/>
      <c r="F1780" s="1"/>
      <c r="G1780" s="1"/>
      <c r="J1780" s="1" t="s">
        <v>7559</v>
      </c>
      <c r="K1780" s="2" t="s">
        <v>10321</v>
      </c>
      <c r="P1780" s="7" t="s">
        <v>1241</v>
      </c>
      <c r="AV1780" s="1" t="s">
        <v>38</v>
      </c>
      <c r="BG1780" s="7" t="s">
        <v>1242</v>
      </c>
    </row>
    <row r="1781" spans="1:59" ht="90" x14ac:dyDescent="0.45">
      <c r="A1781" s="5">
        <v>1780</v>
      </c>
      <c r="B1781" s="1" t="s">
        <v>10949</v>
      </c>
      <c r="C1781" s="6"/>
      <c r="E1781" s="1"/>
      <c r="F1781" s="1"/>
      <c r="G1781" s="1"/>
      <c r="J1781" s="1" t="s">
        <v>7559</v>
      </c>
      <c r="K1781" s="2" t="s">
        <v>10322</v>
      </c>
      <c r="P1781" s="7" t="s">
        <v>1241</v>
      </c>
      <c r="AV1781" s="1" t="s">
        <v>38</v>
      </c>
      <c r="BG1781" s="7" t="s">
        <v>1242</v>
      </c>
    </row>
    <row r="1782" spans="1:59" ht="306" x14ac:dyDescent="0.45">
      <c r="A1782" s="5">
        <v>1781</v>
      </c>
      <c r="B1782" s="1" t="s">
        <v>10950</v>
      </c>
      <c r="C1782" s="6"/>
      <c r="E1782" s="1"/>
      <c r="F1782" s="1"/>
      <c r="G1782" s="1"/>
      <c r="J1782" s="1" t="s">
        <v>7559</v>
      </c>
      <c r="K1782" s="2" t="s">
        <v>10323</v>
      </c>
      <c r="P1782" s="7" t="s">
        <v>1241</v>
      </c>
      <c r="AV1782" s="1" t="s">
        <v>38</v>
      </c>
      <c r="BG1782" s="7" t="s">
        <v>1242</v>
      </c>
    </row>
    <row r="1783" spans="1:59" ht="360" x14ac:dyDescent="0.45">
      <c r="A1783" s="5">
        <v>1782</v>
      </c>
      <c r="B1783" s="1" t="s">
        <v>10951</v>
      </c>
      <c r="C1783" s="6"/>
      <c r="E1783" s="1"/>
      <c r="F1783" s="1"/>
      <c r="G1783" s="1"/>
      <c r="J1783" s="1" t="s">
        <v>7559</v>
      </c>
      <c r="K1783" s="2" t="s">
        <v>10324</v>
      </c>
      <c r="P1783" s="7" t="s">
        <v>1241</v>
      </c>
      <c r="AV1783" s="1" t="s">
        <v>38</v>
      </c>
      <c r="BG1783" s="7" t="s">
        <v>1242</v>
      </c>
    </row>
    <row r="1784" spans="1:59" ht="72" x14ac:dyDescent="0.45">
      <c r="A1784" s="5">
        <v>1783</v>
      </c>
      <c r="B1784" s="1" t="s">
        <v>10952</v>
      </c>
      <c r="C1784" s="6"/>
      <c r="E1784" s="1"/>
      <c r="F1784" s="1"/>
      <c r="G1784" s="1"/>
      <c r="J1784" s="1" t="s">
        <v>7559</v>
      </c>
      <c r="K1784" s="2" t="s">
        <v>10325</v>
      </c>
      <c r="P1784" s="7" t="s">
        <v>1241</v>
      </c>
      <c r="AV1784" s="1" t="s">
        <v>38</v>
      </c>
      <c r="BG1784" s="7" t="s">
        <v>1242</v>
      </c>
    </row>
    <row r="1785" spans="1:59" ht="90" x14ac:dyDescent="0.45">
      <c r="A1785" s="5">
        <v>1784</v>
      </c>
      <c r="B1785" s="1" t="s">
        <v>10953</v>
      </c>
      <c r="C1785" s="6"/>
      <c r="E1785" s="1"/>
      <c r="F1785" s="1"/>
      <c r="G1785" s="1"/>
      <c r="J1785" s="1" t="s">
        <v>7559</v>
      </c>
      <c r="K1785" s="2" t="s">
        <v>10342</v>
      </c>
      <c r="P1785" s="7" t="s">
        <v>1241</v>
      </c>
      <c r="AV1785" s="1" t="s">
        <v>38</v>
      </c>
      <c r="BG1785" s="7" t="s">
        <v>1242</v>
      </c>
    </row>
    <row r="1786" spans="1:59" ht="198" x14ac:dyDescent="0.45">
      <c r="A1786" s="5">
        <v>1785</v>
      </c>
      <c r="B1786" s="1" t="s">
        <v>10954</v>
      </c>
      <c r="C1786" s="6"/>
      <c r="E1786" s="1"/>
      <c r="F1786" s="1"/>
      <c r="G1786" s="1"/>
      <c r="J1786" s="1" t="s">
        <v>7559</v>
      </c>
      <c r="K1786" s="2" t="s">
        <v>10343</v>
      </c>
      <c r="P1786" s="7" t="s">
        <v>1241</v>
      </c>
      <c r="AV1786" s="1" t="s">
        <v>38</v>
      </c>
      <c r="BG1786" s="7" t="s">
        <v>1242</v>
      </c>
    </row>
    <row r="1787" spans="1:59" ht="72" x14ac:dyDescent="0.45">
      <c r="A1787" s="5">
        <v>1786</v>
      </c>
      <c r="B1787" s="1" t="s">
        <v>10955</v>
      </c>
      <c r="C1787" s="6"/>
      <c r="E1787" s="1"/>
      <c r="F1787" s="1"/>
      <c r="G1787" s="1"/>
      <c r="J1787" s="1" t="s">
        <v>7559</v>
      </c>
      <c r="K1787" s="2" t="s">
        <v>10344</v>
      </c>
      <c r="P1787" s="7" t="s">
        <v>1241</v>
      </c>
      <c r="AV1787" s="1" t="s">
        <v>38</v>
      </c>
      <c r="BG1787" s="7" t="s">
        <v>1242</v>
      </c>
    </row>
    <row r="1788" spans="1:59" ht="234" x14ac:dyDescent="0.45">
      <c r="A1788" s="5">
        <v>1787</v>
      </c>
      <c r="B1788" s="1" t="s">
        <v>10956</v>
      </c>
      <c r="C1788" s="6"/>
      <c r="E1788" s="1"/>
      <c r="F1788" s="1"/>
      <c r="G1788" s="1"/>
      <c r="J1788" s="1" t="s">
        <v>7559</v>
      </c>
      <c r="K1788" s="11" t="s">
        <v>11878</v>
      </c>
      <c r="P1788" s="7" t="s">
        <v>1241</v>
      </c>
      <c r="AV1788" s="1" t="s">
        <v>38</v>
      </c>
      <c r="BG1788" s="7" t="s">
        <v>1242</v>
      </c>
    </row>
    <row r="1789" spans="1:59" ht="126" x14ac:dyDescent="0.45">
      <c r="A1789" s="5">
        <v>1788</v>
      </c>
      <c r="B1789" s="1" t="s">
        <v>10957</v>
      </c>
      <c r="C1789" s="6"/>
      <c r="E1789" s="1"/>
      <c r="F1789" s="1"/>
      <c r="G1789" s="1"/>
      <c r="J1789" s="1" t="s">
        <v>7559</v>
      </c>
      <c r="K1789" s="2" t="s">
        <v>10345</v>
      </c>
      <c r="P1789" s="7" t="s">
        <v>1241</v>
      </c>
      <c r="AV1789" s="1" t="s">
        <v>38</v>
      </c>
      <c r="BG1789" s="7" t="s">
        <v>1242</v>
      </c>
    </row>
    <row r="1790" spans="1:59" ht="409.6" x14ac:dyDescent="0.45">
      <c r="A1790" s="5">
        <v>1789</v>
      </c>
      <c r="B1790" s="1" t="s">
        <v>10958</v>
      </c>
      <c r="C1790" s="6"/>
      <c r="E1790" s="1"/>
      <c r="F1790" s="1"/>
      <c r="G1790" s="1"/>
      <c r="J1790" s="1" t="s">
        <v>7559</v>
      </c>
      <c r="K1790" s="11" t="s">
        <v>11879</v>
      </c>
      <c r="P1790" s="7" t="s">
        <v>1241</v>
      </c>
      <c r="AV1790" s="1" t="s">
        <v>38</v>
      </c>
      <c r="BG1790" s="7" t="s">
        <v>1242</v>
      </c>
    </row>
    <row r="1791" spans="1:59" ht="306" x14ac:dyDescent="0.45">
      <c r="A1791" s="5">
        <v>1790</v>
      </c>
      <c r="B1791" s="1" t="s">
        <v>10959</v>
      </c>
      <c r="C1791" s="6"/>
      <c r="E1791" s="1"/>
      <c r="F1791" s="1"/>
      <c r="G1791" s="1"/>
      <c r="J1791" s="1" t="s">
        <v>7559</v>
      </c>
      <c r="K1791" s="11" t="s">
        <v>11880</v>
      </c>
      <c r="P1791" s="7" t="s">
        <v>1241</v>
      </c>
      <c r="AV1791" s="1" t="s">
        <v>38</v>
      </c>
      <c r="BG1791" s="7" t="s">
        <v>1242</v>
      </c>
    </row>
    <row r="1792" spans="1:59" ht="288" x14ac:dyDescent="0.45">
      <c r="A1792" s="5">
        <v>1791</v>
      </c>
      <c r="B1792" s="1" t="s">
        <v>10283</v>
      </c>
      <c r="C1792" s="6"/>
      <c r="E1792" s="1"/>
      <c r="F1792" s="1"/>
      <c r="G1792" s="1"/>
      <c r="J1792" s="1" t="s">
        <v>7559</v>
      </c>
      <c r="K1792" s="11" t="s">
        <v>11881</v>
      </c>
      <c r="P1792" s="7" t="s">
        <v>1241</v>
      </c>
      <c r="AV1792" s="1" t="s">
        <v>38</v>
      </c>
      <c r="BG1792" s="7" t="s">
        <v>1242</v>
      </c>
    </row>
    <row r="1793" spans="1:59" ht="252" x14ac:dyDescent="0.45">
      <c r="A1793" s="5">
        <v>1792</v>
      </c>
      <c r="B1793" s="1" t="s">
        <v>10960</v>
      </c>
      <c r="C1793" s="6"/>
      <c r="E1793" s="1"/>
      <c r="F1793" s="1"/>
      <c r="G1793" s="1"/>
      <c r="J1793" s="1" t="s">
        <v>7559</v>
      </c>
      <c r="K1793" s="11" t="s">
        <v>11882</v>
      </c>
      <c r="P1793" s="7" t="s">
        <v>1241</v>
      </c>
      <c r="AV1793" s="1" t="s">
        <v>38</v>
      </c>
      <c r="BG1793" s="7" t="s">
        <v>1242</v>
      </c>
    </row>
    <row r="1794" spans="1:59" ht="360" x14ac:dyDescent="0.45">
      <c r="A1794" s="5">
        <v>1793</v>
      </c>
      <c r="B1794" s="1" t="s">
        <v>10961</v>
      </c>
      <c r="C1794" s="6"/>
      <c r="E1794" s="1"/>
      <c r="F1794" s="1"/>
      <c r="G1794" s="1"/>
      <c r="J1794" s="1" t="s">
        <v>7559</v>
      </c>
      <c r="K1794" s="11" t="s">
        <v>11883</v>
      </c>
      <c r="P1794" s="7" t="s">
        <v>1241</v>
      </c>
      <c r="AV1794" s="1" t="s">
        <v>38</v>
      </c>
      <c r="BG1794" s="7" t="s">
        <v>1242</v>
      </c>
    </row>
    <row r="1795" spans="1:59" ht="144" x14ac:dyDescent="0.45">
      <c r="A1795" s="5">
        <v>1794</v>
      </c>
      <c r="B1795" s="1" t="s">
        <v>10962</v>
      </c>
      <c r="C1795" s="6"/>
      <c r="E1795" s="1"/>
      <c r="F1795" s="1"/>
      <c r="G1795" s="1"/>
      <c r="J1795" s="1" t="s">
        <v>7559</v>
      </c>
      <c r="K1795" s="11" t="s">
        <v>11884</v>
      </c>
      <c r="P1795" s="7" t="s">
        <v>1241</v>
      </c>
      <c r="AV1795" s="1" t="s">
        <v>38</v>
      </c>
      <c r="BG1795" s="7" t="s">
        <v>1242</v>
      </c>
    </row>
    <row r="1796" spans="1:59" ht="270" x14ac:dyDescent="0.45">
      <c r="A1796" s="5">
        <v>1795</v>
      </c>
      <c r="B1796" s="1" t="s">
        <v>10963</v>
      </c>
      <c r="C1796" s="6"/>
      <c r="E1796" s="1"/>
      <c r="F1796" s="1"/>
      <c r="G1796" s="1"/>
      <c r="J1796" s="1" t="s">
        <v>7559</v>
      </c>
      <c r="K1796" s="11" t="s">
        <v>11885</v>
      </c>
      <c r="P1796" s="7" t="s">
        <v>1241</v>
      </c>
      <c r="AV1796" s="1" t="s">
        <v>38</v>
      </c>
      <c r="BG1796" s="7" t="s">
        <v>1242</v>
      </c>
    </row>
    <row r="1797" spans="1:59" ht="306" x14ac:dyDescent="0.45">
      <c r="A1797" s="5">
        <v>1796</v>
      </c>
      <c r="B1797" s="1" t="s">
        <v>10964</v>
      </c>
      <c r="C1797" s="6"/>
      <c r="E1797" s="1"/>
      <c r="F1797" s="1"/>
      <c r="G1797" s="1"/>
      <c r="J1797" s="1" t="s">
        <v>7559</v>
      </c>
      <c r="K1797" s="11" t="s">
        <v>11886</v>
      </c>
      <c r="P1797" s="7" t="s">
        <v>1241</v>
      </c>
      <c r="AV1797" s="1" t="s">
        <v>38</v>
      </c>
      <c r="BG1797" s="7" t="s">
        <v>1242</v>
      </c>
    </row>
    <row r="1798" spans="1:59" ht="306" x14ac:dyDescent="0.45">
      <c r="A1798" s="5">
        <v>1797</v>
      </c>
      <c r="B1798" s="1" t="s">
        <v>10965</v>
      </c>
      <c r="C1798" s="6"/>
      <c r="E1798" s="1"/>
      <c r="F1798" s="1"/>
      <c r="G1798" s="1"/>
      <c r="J1798" s="1" t="s">
        <v>7559</v>
      </c>
      <c r="K1798" s="11" t="s">
        <v>11887</v>
      </c>
      <c r="P1798" s="7" t="s">
        <v>1241</v>
      </c>
      <c r="AV1798" s="1" t="s">
        <v>38</v>
      </c>
      <c r="BG1798" s="7" t="s">
        <v>1242</v>
      </c>
    </row>
    <row r="1799" spans="1:59" ht="126" x14ac:dyDescent="0.45">
      <c r="A1799" s="5">
        <v>1798</v>
      </c>
      <c r="B1799" s="1" t="s">
        <v>10966</v>
      </c>
      <c r="C1799" s="6"/>
      <c r="E1799" s="1"/>
      <c r="F1799" s="1"/>
      <c r="G1799" s="1"/>
      <c r="J1799" s="1" t="s">
        <v>7559</v>
      </c>
      <c r="K1799" s="2" t="s">
        <v>10326</v>
      </c>
      <c r="P1799" s="7" t="s">
        <v>1241</v>
      </c>
      <c r="AV1799" s="1" t="s">
        <v>38</v>
      </c>
      <c r="BG1799" s="7" t="s">
        <v>1242</v>
      </c>
    </row>
    <row r="1800" spans="1:59" ht="180" x14ac:dyDescent="0.45">
      <c r="A1800" s="5">
        <v>1799</v>
      </c>
      <c r="B1800" s="1" t="s">
        <v>10967</v>
      </c>
      <c r="C1800" s="6"/>
      <c r="E1800" s="1"/>
      <c r="F1800" s="1"/>
      <c r="G1800" s="1"/>
      <c r="J1800" s="1" t="s">
        <v>7559</v>
      </c>
      <c r="K1800" s="11" t="s">
        <v>11888</v>
      </c>
      <c r="P1800" s="7" t="s">
        <v>1241</v>
      </c>
      <c r="AV1800" s="1" t="s">
        <v>38</v>
      </c>
      <c r="BG1800" s="7" t="s">
        <v>1242</v>
      </c>
    </row>
    <row r="1801" spans="1:59" ht="162" x14ac:dyDescent="0.45">
      <c r="A1801" s="5">
        <v>1800</v>
      </c>
      <c r="B1801" s="1" t="s">
        <v>10968</v>
      </c>
      <c r="C1801" s="6"/>
      <c r="E1801" s="1"/>
      <c r="F1801" s="1"/>
      <c r="G1801" s="1"/>
      <c r="J1801" s="1" t="s">
        <v>7559</v>
      </c>
      <c r="K1801" s="2" t="s">
        <v>11781</v>
      </c>
      <c r="P1801" s="7" t="s">
        <v>1241</v>
      </c>
      <c r="AV1801" s="1" t="s">
        <v>38</v>
      </c>
      <c r="BG1801" s="7" t="s">
        <v>1242</v>
      </c>
    </row>
    <row r="1802" spans="1:59" ht="144" x14ac:dyDescent="0.45">
      <c r="A1802" s="5">
        <v>1801</v>
      </c>
      <c r="B1802" s="1" t="s">
        <v>10969</v>
      </c>
      <c r="C1802" s="6"/>
      <c r="E1802" s="1"/>
      <c r="F1802" s="1"/>
      <c r="G1802" s="1"/>
      <c r="J1802" s="1" t="s">
        <v>7559</v>
      </c>
      <c r="K1802" s="11" t="s">
        <v>11889</v>
      </c>
      <c r="P1802" s="7" t="s">
        <v>1241</v>
      </c>
      <c r="AV1802" s="1" t="s">
        <v>38</v>
      </c>
      <c r="BG1802" s="7" t="s">
        <v>1242</v>
      </c>
    </row>
    <row r="1803" spans="1:59" ht="126" x14ac:dyDescent="0.45">
      <c r="A1803" s="5">
        <v>1802</v>
      </c>
      <c r="B1803" s="1" t="s">
        <v>10970</v>
      </c>
      <c r="C1803" s="6"/>
      <c r="E1803" s="1"/>
      <c r="F1803" s="1"/>
      <c r="G1803" s="1"/>
      <c r="J1803" s="1" t="s">
        <v>7559</v>
      </c>
      <c r="K1803" s="11" t="s">
        <v>11890</v>
      </c>
      <c r="P1803" s="7" t="s">
        <v>1241</v>
      </c>
      <c r="AV1803" s="1" t="s">
        <v>38</v>
      </c>
      <c r="BG1803" s="7" t="s">
        <v>1242</v>
      </c>
    </row>
    <row r="1804" spans="1:59" ht="198" x14ac:dyDescent="0.45">
      <c r="A1804" s="5">
        <v>1803</v>
      </c>
      <c r="B1804" s="1" t="s">
        <v>10971</v>
      </c>
      <c r="C1804" s="6"/>
      <c r="E1804" s="1"/>
      <c r="F1804" s="1"/>
      <c r="G1804" s="1"/>
      <c r="J1804" s="1" t="s">
        <v>7559</v>
      </c>
      <c r="K1804" s="11" t="s">
        <v>11891</v>
      </c>
      <c r="P1804" s="7" t="s">
        <v>1241</v>
      </c>
      <c r="AV1804" s="1" t="s">
        <v>38</v>
      </c>
      <c r="BG1804" s="7" t="s">
        <v>1242</v>
      </c>
    </row>
    <row r="1805" spans="1:59" ht="252" x14ac:dyDescent="0.45">
      <c r="A1805" s="5">
        <v>1804</v>
      </c>
      <c r="B1805" s="1" t="s">
        <v>10972</v>
      </c>
      <c r="C1805" s="6"/>
      <c r="E1805" s="1"/>
      <c r="F1805" s="1"/>
      <c r="G1805" s="1"/>
      <c r="J1805" s="1" t="s">
        <v>7559</v>
      </c>
      <c r="K1805" s="11" t="s">
        <v>11892</v>
      </c>
      <c r="P1805" s="7" t="s">
        <v>1241</v>
      </c>
      <c r="AV1805" s="1" t="s">
        <v>38</v>
      </c>
      <c r="BG1805" s="7" t="s">
        <v>1242</v>
      </c>
    </row>
    <row r="1806" spans="1:59" ht="198" x14ac:dyDescent="0.45">
      <c r="A1806" s="5">
        <v>1805</v>
      </c>
      <c r="B1806" s="1" t="s">
        <v>10973</v>
      </c>
      <c r="C1806" s="6"/>
      <c r="E1806" s="1"/>
      <c r="F1806" s="1"/>
      <c r="G1806" s="1"/>
      <c r="J1806" s="1" t="s">
        <v>7559</v>
      </c>
      <c r="K1806" s="11" t="s">
        <v>11893</v>
      </c>
      <c r="P1806" s="7" t="s">
        <v>1241</v>
      </c>
      <c r="AV1806" s="1" t="s">
        <v>38</v>
      </c>
      <c r="BG1806" s="7" t="s">
        <v>1242</v>
      </c>
    </row>
    <row r="1807" spans="1:59" ht="288" x14ac:dyDescent="0.45">
      <c r="A1807" s="5">
        <v>1806</v>
      </c>
      <c r="B1807" s="1" t="s">
        <v>10974</v>
      </c>
      <c r="C1807" s="6"/>
      <c r="E1807" s="1"/>
      <c r="F1807" s="1"/>
      <c r="G1807" s="1"/>
      <c r="J1807" s="1" t="s">
        <v>7559</v>
      </c>
      <c r="K1807" s="11" t="s">
        <v>11894</v>
      </c>
      <c r="P1807" s="7" t="s">
        <v>1241</v>
      </c>
      <c r="AV1807" s="1" t="s">
        <v>38</v>
      </c>
      <c r="BG1807" s="7" t="s">
        <v>1242</v>
      </c>
    </row>
    <row r="1808" spans="1:59" ht="162" x14ac:dyDescent="0.45">
      <c r="A1808" s="5">
        <v>1807</v>
      </c>
      <c r="B1808" s="1" t="s">
        <v>10975</v>
      </c>
      <c r="C1808" s="6"/>
      <c r="E1808" s="1"/>
      <c r="F1808" s="1"/>
      <c r="G1808" s="1"/>
      <c r="J1808" s="1" t="s">
        <v>7559</v>
      </c>
      <c r="K1808" s="11" t="s">
        <v>11895</v>
      </c>
      <c r="P1808" s="7" t="s">
        <v>1241</v>
      </c>
      <c r="AV1808" s="1" t="s">
        <v>38</v>
      </c>
      <c r="BG1808" s="7" t="s">
        <v>1242</v>
      </c>
    </row>
    <row r="1809" spans="1:59" ht="180" x14ac:dyDescent="0.45">
      <c r="A1809" s="5">
        <v>1808</v>
      </c>
      <c r="B1809" s="1" t="s">
        <v>10976</v>
      </c>
      <c r="C1809" s="6"/>
      <c r="E1809" s="1"/>
      <c r="F1809" s="1"/>
      <c r="G1809" s="1"/>
      <c r="J1809" s="1" t="s">
        <v>7559</v>
      </c>
      <c r="K1809" s="11" t="s">
        <v>11896</v>
      </c>
      <c r="P1809" s="7" t="s">
        <v>1241</v>
      </c>
      <c r="AV1809" s="1" t="s">
        <v>38</v>
      </c>
      <c r="BG1809" s="7" t="s">
        <v>1242</v>
      </c>
    </row>
    <row r="1810" spans="1:59" ht="198" x14ac:dyDescent="0.45">
      <c r="A1810" s="5">
        <v>1809</v>
      </c>
      <c r="B1810" s="1" t="s">
        <v>10977</v>
      </c>
      <c r="C1810" s="6"/>
      <c r="E1810" s="1"/>
      <c r="F1810" s="1"/>
      <c r="G1810" s="1"/>
      <c r="J1810" s="1" t="s">
        <v>7559</v>
      </c>
      <c r="K1810" s="11" t="s">
        <v>11897</v>
      </c>
      <c r="P1810" s="7" t="s">
        <v>1241</v>
      </c>
      <c r="AV1810" s="1" t="s">
        <v>38</v>
      </c>
      <c r="BG1810" s="7" t="s">
        <v>1242</v>
      </c>
    </row>
    <row r="1811" spans="1:59" ht="252" x14ac:dyDescent="0.45">
      <c r="A1811" s="5">
        <v>1810</v>
      </c>
      <c r="B1811" s="1" t="s">
        <v>10978</v>
      </c>
      <c r="C1811" s="6"/>
      <c r="E1811" s="1"/>
      <c r="F1811" s="1"/>
      <c r="G1811" s="1"/>
      <c r="J1811" s="1" t="s">
        <v>7559</v>
      </c>
      <c r="K1811" s="11" t="s">
        <v>11898</v>
      </c>
      <c r="P1811" s="7" t="s">
        <v>1241</v>
      </c>
      <c r="AV1811" s="1" t="s">
        <v>38</v>
      </c>
      <c r="BG1811" s="7" t="s">
        <v>1242</v>
      </c>
    </row>
    <row r="1812" spans="1:59" ht="126" x14ac:dyDescent="0.45">
      <c r="A1812" s="5">
        <v>1811</v>
      </c>
      <c r="B1812" s="1" t="s">
        <v>10979</v>
      </c>
      <c r="C1812" s="6"/>
      <c r="E1812" s="1"/>
      <c r="F1812" s="1"/>
      <c r="G1812" s="1"/>
      <c r="J1812" s="1" t="s">
        <v>7559</v>
      </c>
      <c r="K1812" s="11" t="s">
        <v>11899</v>
      </c>
      <c r="P1812" s="7" t="s">
        <v>1241</v>
      </c>
      <c r="AV1812" s="1" t="s">
        <v>38</v>
      </c>
      <c r="BG1812" s="7" t="s">
        <v>1242</v>
      </c>
    </row>
    <row r="1813" spans="1:59" ht="126" x14ac:dyDescent="0.45">
      <c r="A1813" s="5">
        <v>1812</v>
      </c>
      <c r="B1813" s="1" t="s">
        <v>10980</v>
      </c>
      <c r="C1813" s="6"/>
      <c r="E1813" s="1"/>
      <c r="F1813" s="1"/>
      <c r="G1813" s="1"/>
      <c r="J1813" s="1" t="s">
        <v>7559</v>
      </c>
      <c r="K1813" s="11" t="s">
        <v>11900</v>
      </c>
      <c r="P1813" s="7" t="s">
        <v>1241</v>
      </c>
      <c r="AV1813" s="1" t="s">
        <v>38</v>
      </c>
      <c r="BG1813" s="7" t="s">
        <v>1242</v>
      </c>
    </row>
    <row r="1814" spans="1:59" ht="234" x14ac:dyDescent="0.45">
      <c r="A1814" s="5">
        <v>1813</v>
      </c>
      <c r="B1814" s="1" t="s">
        <v>10981</v>
      </c>
      <c r="C1814" s="6"/>
      <c r="E1814" s="1"/>
      <c r="F1814" s="1"/>
      <c r="G1814" s="1"/>
      <c r="J1814" s="1" t="s">
        <v>7559</v>
      </c>
      <c r="K1814" s="11" t="s">
        <v>11901</v>
      </c>
      <c r="P1814" s="7" t="s">
        <v>1241</v>
      </c>
      <c r="AV1814" s="1" t="s">
        <v>38</v>
      </c>
      <c r="BG1814" s="7" t="s">
        <v>1242</v>
      </c>
    </row>
    <row r="1815" spans="1:59" ht="234" x14ac:dyDescent="0.45">
      <c r="A1815" s="5">
        <v>1814</v>
      </c>
      <c r="B1815" s="1" t="s">
        <v>10982</v>
      </c>
      <c r="C1815" s="6"/>
      <c r="E1815" s="1"/>
      <c r="F1815" s="1"/>
      <c r="G1815" s="1"/>
      <c r="J1815" s="1" t="s">
        <v>7559</v>
      </c>
      <c r="K1815" s="11" t="s">
        <v>11902</v>
      </c>
      <c r="P1815" s="7" t="s">
        <v>1241</v>
      </c>
      <c r="AV1815" s="1" t="s">
        <v>38</v>
      </c>
      <c r="BG1815" s="7" t="s">
        <v>1242</v>
      </c>
    </row>
    <row r="1816" spans="1:59" ht="216" x14ac:dyDescent="0.45">
      <c r="A1816" s="5">
        <v>1815</v>
      </c>
      <c r="B1816" s="1" t="s">
        <v>10983</v>
      </c>
      <c r="C1816" s="6"/>
      <c r="E1816" s="1"/>
      <c r="F1816" s="1"/>
      <c r="G1816" s="1"/>
      <c r="J1816" s="1" t="s">
        <v>7559</v>
      </c>
      <c r="K1816" s="11" t="s">
        <v>11903</v>
      </c>
      <c r="P1816" s="7" t="s">
        <v>1241</v>
      </c>
      <c r="AV1816" s="1" t="s">
        <v>38</v>
      </c>
      <c r="BG1816" s="7" t="s">
        <v>1242</v>
      </c>
    </row>
    <row r="1817" spans="1:59" ht="126" x14ac:dyDescent="0.45">
      <c r="A1817" s="5">
        <v>1816</v>
      </c>
      <c r="B1817" s="1" t="s">
        <v>10984</v>
      </c>
      <c r="C1817" s="6"/>
      <c r="E1817" s="1"/>
      <c r="F1817" s="1"/>
      <c r="G1817" s="1"/>
      <c r="J1817" s="1" t="s">
        <v>7559</v>
      </c>
      <c r="K1817" s="11" t="s">
        <v>11904</v>
      </c>
      <c r="P1817" s="7" t="s">
        <v>1241</v>
      </c>
      <c r="AV1817" s="1" t="s">
        <v>38</v>
      </c>
      <c r="BG1817" s="7" t="s">
        <v>1242</v>
      </c>
    </row>
    <row r="1818" spans="1:59" ht="198" x14ac:dyDescent="0.45">
      <c r="A1818" s="5">
        <v>1817</v>
      </c>
      <c r="B1818" s="1" t="s">
        <v>10985</v>
      </c>
      <c r="C1818" s="6"/>
      <c r="E1818" s="1"/>
      <c r="F1818" s="1"/>
      <c r="G1818" s="1"/>
      <c r="J1818" s="1" t="s">
        <v>7559</v>
      </c>
      <c r="K1818" s="11" t="s">
        <v>11905</v>
      </c>
      <c r="P1818" s="7" t="s">
        <v>1241</v>
      </c>
      <c r="AV1818" s="1" t="s">
        <v>38</v>
      </c>
      <c r="BG1818" s="7" t="s">
        <v>1242</v>
      </c>
    </row>
    <row r="1819" spans="1:59" ht="198" x14ac:dyDescent="0.45">
      <c r="A1819" s="5">
        <v>1818</v>
      </c>
      <c r="B1819" s="1" t="s">
        <v>10986</v>
      </c>
      <c r="C1819" s="6"/>
      <c r="E1819" s="1"/>
      <c r="F1819" s="1"/>
      <c r="G1819" s="1"/>
      <c r="J1819" s="1" t="s">
        <v>7559</v>
      </c>
      <c r="K1819" s="11" t="s">
        <v>11906</v>
      </c>
      <c r="P1819" s="7" t="s">
        <v>1241</v>
      </c>
      <c r="AV1819" s="1" t="s">
        <v>38</v>
      </c>
      <c r="BG1819" s="7" t="s">
        <v>1242</v>
      </c>
    </row>
    <row r="1820" spans="1:59" ht="234" x14ac:dyDescent="0.45">
      <c r="A1820" s="5">
        <v>1819</v>
      </c>
      <c r="B1820" s="1" t="s">
        <v>10987</v>
      </c>
      <c r="C1820" s="6"/>
      <c r="E1820" s="1"/>
      <c r="F1820" s="1"/>
      <c r="G1820" s="1"/>
      <c r="J1820" s="1" t="s">
        <v>7559</v>
      </c>
      <c r="K1820" s="2" t="s">
        <v>10346</v>
      </c>
      <c r="P1820" s="7" t="s">
        <v>1241</v>
      </c>
      <c r="AV1820" s="1" t="s">
        <v>38</v>
      </c>
      <c r="BG1820" s="7" t="s">
        <v>1242</v>
      </c>
    </row>
    <row r="1821" spans="1:59" ht="234" x14ac:dyDescent="0.45">
      <c r="A1821" s="5">
        <v>1820</v>
      </c>
      <c r="B1821" s="1" t="s">
        <v>10988</v>
      </c>
      <c r="C1821" s="6"/>
      <c r="E1821" s="1"/>
      <c r="F1821" s="1"/>
      <c r="G1821" s="1"/>
      <c r="J1821" s="1" t="s">
        <v>7559</v>
      </c>
      <c r="K1821" s="2" t="s">
        <v>10347</v>
      </c>
      <c r="P1821" s="7" t="s">
        <v>1241</v>
      </c>
      <c r="AV1821" s="1" t="s">
        <v>38</v>
      </c>
      <c r="BG1821" s="7" t="s">
        <v>1242</v>
      </c>
    </row>
    <row r="1822" spans="1:59" ht="288" x14ac:dyDescent="0.45">
      <c r="A1822" s="5">
        <v>1821</v>
      </c>
      <c r="B1822" s="1" t="s">
        <v>10989</v>
      </c>
      <c r="C1822" s="6"/>
      <c r="E1822" s="1"/>
      <c r="F1822" s="1"/>
      <c r="G1822" s="1"/>
      <c r="J1822" s="1" t="s">
        <v>7559</v>
      </c>
      <c r="K1822" s="2" t="s">
        <v>11775</v>
      </c>
      <c r="P1822" s="7" t="s">
        <v>1241</v>
      </c>
      <c r="AV1822" s="1" t="s">
        <v>38</v>
      </c>
      <c r="BG1822" s="7" t="s">
        <v>1242</v>
      </c>
    </row>
    <row r="1823" spans="1:59" ht="126" x14ac:dyDescent="0.45">
      <c r="A1823" s="5">
        <v>1822</v>
      </c>
      <c r="B1823" s="1" t="s">
        <v>10990</v>
      </c>
      <c r="C1823" s="6"/>
      <c r="E1823" s="1"/>
      <c r="F1823" s="1"/>
      <c r="G1823" s="1"/>
      <c r="J1823" s="1" t="s">
        <v>7559</v>
      </c>
      <c r="K1823" s="2" t="s">
        <v>10348</v>
      </c>
      <c r="P1823" s="7" t="s">
        <v>1241</v>
      </c>
      <c r="AV1823" s="1" t="s">
        <v>38</v>
      </c>
      <c r="BG1823" s="7" t="s">
        <v>1242</v>
      </c>
    </row>
    <row r="1824" spans="1:59" ht="144" x14ac:dyDescent="0.45">
      <c r="A1824" s="5">
        <v>1823</v>
      </c>
      <c r="B1824" s="1" t="s">
        <v>10991</v>
      </c>
      <c r="C1824" s="6"/>
      <c r="E1824" s="1"/>
      <c r="F1824" s="1"/>
      <c r="G1824" s="1"/>
      <c r="J1824" s="1" t="s">
        <v>7559</v>
      </c>
      <c r="K1824" s="2" t="s">
        <v>10349</v>
      </c>
      <c r="P1824" s="7" t="s">
        <v>1241</v>
      </c>
      <c r="AV1824" s="1" t="s">
        <v>38</v>
      </c>
      <c r="BG1824" s="7" t="s">
        <v>1242</v>
      </c>
    </row>
    <row r="1825" spans="1:59" ht="234" x14ac:dyDescent="0.45">
      <c r="A1825" s="5">
        <v>1824</v>
      </c>
      <c r="B1825" s="1" t="s">
        <v>10992</v>
      </c>
      <c r="C1825" s="6"/>
      <c r="E1825" s="1"/>
      <c r="F1825" s="1"/>
      <c r="G1825" s="1"/>
      <c r="J1825" s="1" t="s">
        <v>7559</v>
      </c>
      <c r="K1825" s="11" t="s">
        <v>11907</v>
      </c>
      <c r="P1825" s="7" t="s">
        <v>1241</v>
      </c>
      <c r="AV1825" s="1" t="s">
        <v>38</v>
      </c>
      <c r="BG1825" s="7" t="s">
        <v>1242</v>
      </c>
    </row>
    <row r="1826" spans="1:59" ht="396" x14ac:dyDescent="0.45">
      <c r="A1826" s="5">
        <v>1825</v>
      </c>
      <c r="B1826" s="1" t="s">
        <v>10993</v>
      </c>
      <c r="C1826" s="6"/>
      <c r="E1826" s="1"/>
      <c r="F1826" s="1"/>
      <c r="G1826" s="1"/>
      <c r="J1826" s="1" t="s">
        <v>7559</v>
      </c>
      <c r="K1826" s="11" t="s">
        <v>11908</v>
      </c>
      <c r="P1826" s="7" t="s">
        <v>1241</v>
      </c>
      <c r="AV1826" s="1" t="s">
        <v>38</v>
      </c>
      <c r="BG1826" s="7" t="s">
        <v>1242</v>
      </c>
    </row>
    <row r="1827" spans="1:59" ht="306" x14ac:dyDescent="0.45">
      <c r="A1827" s="5">
        <v>1826</v>
      </c>
      <c r="B1827" s="1" t="s">
        <v>10994</v>
      </c>
      <c r="C1827" s="6"/>
      <c r="E1827" s="1"/>
      <c r="F1827" s="1"/>
      <c r="G1827" s="1"/>
      <c r="J1827" s="1" t="s">
        <v>7559</v>
      </c>
      <c r="K1827" s="11" t="s">
        <v>11909</v>
      </c>
      <c r="P1827" s="7" t="s">
        <v>1241</v>
      </c>
      <c r="AV1827" s="1" t="s">
        <v>38</v>
      </c>
      <c r="BG1827" s="7" t="s">
        <v>1242</v>
      </c>
    </row>
    <row r="1828" spans="1:59" ht="252" x14ac:dyDescent="0.45">
      <c r="A1828" s="5">
        <v>1827</v>
      </c>
      <c r="B1828" s="1" t="s">
        <v>10995</v>
      </c>
      <c r="C1828" s="6"/>
      <c r="E1828" s="1"/>
      <c r="F1828" s="1"/>
      <c r="G1828" s="1"/>
      <c r="J1828" s="1" t="s">
        <v>7559</v>
      </c>
      <c r="K1828" s="2" t="s">
        <v>10350</v>
      </c>
      <c r="P1828" s="7" t="s">
        <v>1241</v>
      </c>
      <c r="AV1828" s="1" t="s">
        <v>38</v>
      </c>
      <c r="BG1828" s="7" t="s">
        <v>1242</v>
      </c>
    </row>
    <row r="1829" spans="1:59" ht="216" x14ac:dyDescent="0.45">
      <c r="A1829" s="5">
        <v>1828</v>
      </c>
      <c r="B1829" s="1" t="s">
        <v>10996</v>
      </c>
      <c r="C1829" s="6"/>
      <c r="E1829" s="1"/>
      <c r="F1829" s="1"/>
      <c r="G1829" s="1"/>
      <c r="J1829" s="1" t="s">
        <v>7559</v>
      </c>
      <c r="K1829" s="2" t="s">
        <v>10351</v>
      </c>
      <c r="P1829" s="7" t="s">
        <v>1241</v>
      </c>
      <c r="AV1829" s="1" t="s">
        <v>38</v>
      </c>
      <c r="BG1829" s="7" t="s">
        <v>1242</v>
      </c>
    </row>
    <row r="1830" spans="1:59" ht="360" x14ac:dyDescent="0.45">
      <c r="A1830" s="5">
        <v>1829</v>
      </c>
      <c r="B1830" s="1" t="s">
        <v>10997</v>
      </c>
      <c r="C1830" s="6"/>
      <c r="E1830" s="1"/>
      <c r="F1830" s="1"/>
      <c r="G1830" s="1"/>
      <c r="J1830" s="1" t="s">
        <v>7559</v>
      </c>
      <c r="K1830" s="11" t="s">
        <v>11910</v>
      </c>
      <c r="P1830" s="7" t="s">
        <v>1241</v>
      </c>
      <c r="AV1830" s="1" t="s">
        <v>38</v>
      </c>
      <c r="BG1830" s="7" t="s">
        <v>1242</v>
      </c>
    </row>
    <row r="1831" spans="1:59" ht="409.6" x14ac:dyDescent="0.45">
      <c r="A1831" s="5">
        <v>1830</v>
      </c>
      <c r="B1831" s="1" t="s">
        <v>10998</v>
      </c>
      <c r="C1831" s="6"/>
      <c r="E1831" s="1"/>
      <c r="F1831" s="1"/>
      <c r="G1831" s="1"/>
      <c r="J1831" s="1" t="s">
        <v>7559</v>
      </c>
      <c r="K1831" s="2" t="s">
        <v>10352</v>
      </c>
      <c r="P1831" s="7" t="s">
        <v>1241</v>
      </c>
      <c r="AV1831" s="1" t="s">
        <v>38</v>
      </c>
      <c r="BG1831" s="7" t="s">
        <v>1242</v>
      </c>
    </row>
    <row r="1832" spans="1:59" ht="396" x14ac:dyDescent="0.45">
      <c r="A1832" s="5">
        <v>1831</v>
      </c>
      <c r="B1832" s="1" t="s">
        <v>10999</v>
      </c>
      <c r="C1832" s="6"/>
      <c r="E1832" s="1"/>
      <c r="F1832" s="1"/>
      <c r="G1832" s="1"/>
      <c r="J1832" s="1" t="s">
        <v>7559</v>
      </c>
      <c r="K1832" s="11" t="s">
        <v>11911</v>
      </c>
      <c r="P1832" s="7" t="s">
        <v>1241</v>
      </c>
      <c r="AV1832" s="1" t="s">
        <v>38</v>
      </c>
      <c r="BG1832" s="7" t="s">
        <v>1242</v>
      </c>
    </row>
    <row r="1833" spans="1:59" ht="360" x14ac:dyDescent="0.45">
      <c r="A1833" s="5">
        <v>1832</v>
      </c>
      <c r="B1833" s="1" t="s">
        <v>11000</v>
      </c>
      <c r="C1833" s="6"/>
      <c r="E1833" s="1"/>
      <c r="F1833" s="1"/>
      <c r="G1833" s="1"/>
      <c r="J1833" s="1" t="s">
        <v>7559</v>
      </c>
      <c r="K1833" s="2" t="s">
        <v>10356</v>
      </c>
      <c r="P1833" s="7" t="s">
        <v>1241</v>
      </c>
      <c r="AV1833" s="1" t="s">
        <v>38</v>
      </c>
      <c r="BG1833" s="7" t="s">
        <v>1242</v>
      </c>
    </row>
    <row r="1834" spans="1:59" ht="90" x14ac:dyDescent="0.45">
      <c r="A1834" s="5">
        <v>1833</v>
      </c>
      <c r="B1834" s="1" t="s">
        <v>11001</v>
      </c>
      <c r="C1834" s="6"/>
      <c r="E1834" s="1"/>
      <c r="F1834" s="1"/>
      <c r="G1834" s="1"/>
      <c r="J1834" s="1" t="s">
        <v>7559</v>
      </c>
      <c r="K1834" s="2" t="s">
        <v>10357</v>
      </c>
      <c r="P1834" s="7" t="s">
        <v>1241</v>
      </c>
      <c r="AV1834" s="1" t="s">
        <v>38</v>
      </c>
      <c r="BG1834" s="7" t="s">
        <v>1242</v>
      </c>
    </row>
    <row r="1835" spans="1:59" ht="90" x14ac:dyDescent="0.45">
      <c r="A1835" s="5">
        <v>1834</v>
      </c>
      <c r="B1835" s="1" t="s">
        <v>11002</v>
      </c>
      <c r="C1835" s="6"/>
      <c r="E1835" s="1"/>
      <c r="F1835" s="1"/>
      <c r="G1835" s="1"/>
      <c r="J1835" s="1" t="s">
        <v>7559</v>
      </c>
      <c r="K1835" s="2" t="s">
        <v>10358</v>
      </c>
      <c r="P1835" s="7" t="s">
        <v>1241</v>
      </c>
      <c r="AV1835" s="1" t="s">
        <v>38</v>
      </c>
      <c r="BG1835" s="7" t="s">
        <v>1242</v>
      </c>
    </row>
    <row r="1836" spans="1:59" ht="90" x14ac:dyDescent="0.45">
      <c r="A1836" s="5">
        <v>1835</v>
      </c>
      <c r="B1836" s="1" t="s">
        <v>11003</v>
      </c>
      <c r="C1836" s="6"/>
      <c r="E1836" s="1"/>
      <c r="F1836" s="1"/>
      <c r="G1836" s="1"/>
      <c r="J1836" s="1" t="s">
        <v>7559</v>
      </c>
      <c r="K1836" s="2" t="s">
        <v>10359</v>
      </c>
      <c r="P1836" s="7" t="s">
        <v>1241</v>
      </c>
      <c r="AV1836" s="1" t="s">
        <v>38</v>
      </c>
      <c r="BG1836" s="7" t="s">
        <v>1242</v>
      </c>
    </row>
    <row r="1837" spans="1:59" ht="144" x14ac:dyDescent="0.45">
      <c r="A1837" s="5">
        <v>1836</v>
      </c>
      <c r="B1837" s="1" t="s">
        <v>11004</v>
      </c>
      <c r="C1837" s="6"/>
      <c r="E1837" s="1"/>
      <c r="F1837" s="1"/>
      <c r="G1837" s="1"/>
      <c r="J1837" s="1" t="s">
        <v>7559</v>
      </c>
      <c r="K1837" s="2" t="s">
        <v>10360</v>
      </c>
      <c r="P1837" s="7" t="s">
        <v>1241</v>
      </c>
      <c r="AV1837" s="1" t="s">
        <v>38</v>
      </c>
      <c r="BG1837" s="7" t="s">
        <v>1242</v>
      </c>
    </row>
    <row r="1838" spans="1:59" ht="144" x14ac:dyDescent="0.45">
      <c r="A1838" s="5">
        <v>1837</v>
      </c>
      <c r="B1838" s="1" t="s">
        <v>11005</v>
      </c>
      <c r="C1838" s="6"/>
      <c r="E1838" s="1"/>
      <c r="F1838" s="1"/>
      <c r="G1838" s="1"/>
      <c r="J1838" s="1" t="s">
        <v>7559</v>
      </c>
      <c r="K1838" s="2" t="s">
        <v>10361</v>
      </c>
      <c r="P1838" s="7" t="s">
        <v>1241</v>
      </c>
      <c r="AV1838" s="1" t="s">
        <v>38</v>
      </c>
      <c r="BG1838" s="7" t="s">
        <v>1242</v>
      </c>
    </row>
    <row r="1839" spans="1:59" ht="198" x14ac:dyDescent="0.45">
      <c r="A1839" s="5">
        <v>1838</v>
      </c>
      <c r="B1839" s="1" t="s">
        <v>11006</v>
      </c>
      <c r="C1839" s="6"/>
      <c r="E1839" s="1"/>
      <c r="F1839" s="1"/>
      <c r="G1839" s="1"/>
      <c r="J1839" s="1" t="s">
        <v>7559</v>
      </c>
      <c r="K1839" s="2" t="s">
        <v>10362</v>
      </c>
      <c r="P1839" s="7" t="s">
        <v>1241</v>
      </c>
      <c r="AV1839" s="1" t="s">
        <v>38</v>
      </c>
      <c r="BG1839" s="7" t="s">
        <v>1242</v>
      </c>
    </row>
    <row r="1840" spans="1:59" ht="234" x14ac:dyDescent="0.45">
      <c r="A1840" s="5">
        <v>1839</v>
      </c>
      <c r="B1840" s="1" t="s">
        <v>11007</v>
      </c>
      <c r="C1840" s="6"/>
      <c r="E1840" s="1"/>
      <c r="F1840" s="1"/>
      <c r="G1840" s="1"/>
      <c r="J1840" s="1" t="s">
        <v>7559</v>
      </c>
      <c r="K1840" s="2" t="s">
        <v>10363</v>
      </c>
      <c r="P1840" s="7" t="s">
        <v>1241</v>
      </c>
      <c r="AV1840" s="1" t="s">
        <v>38</v>
      </c>
      <c r="BG1840" s="7" t="s">
        <v>1242</v>
      </c>
    </row>
    <row r="1841" spans="1:59" ht="108" x14ac:dyDescent="0.45">
      <c r="A1841" s="5">
        <v>1840</v>
      </c>
      <c r="B1841" s="1" t="s">
        <v>11008</v>
      </c>
      <c r="C1841" s="6"/>
      <c r="E1841" s="1"/>
      <c r="F1841" s="1"/>
      <c r="G1841" s="1"/>
      <c r="J1841" s="1" t="s">
        <v>7559</v>
      </c>
      <c r="K1841" s="2" t="s">
        <v>10364</v>
      </c>
      <c r="P1841" s="7" t="s">
        <v>1241</v>
      </c>
      <c r="AV1841" s="1" t="s">
        <v>38</v>
      </c>
      <c r="BG1841" s="7" t="s">
        <v>1242</v>
      </c>
    </row>
    <row r="1842" spans="1:59" ht="90" x14ac:dyDescent="0.45">
      <c r="A1842" s="5">
        <v>1841</v>
      </c>
      <c r="B1842" s="1" t="s">
        <v>11009</v>
      </c>
      <c r="C1842" s="6"/>
      <c r="E1842" s="1"/>
      <c r="F1842" s="1"/>
      <c r="G1842" s="1"/>
      <c r="J1842" s="1" t="s">
        <v>7559</v>
      </c>
      <c r="K1842" s="2" t="s">
        <v>10365</v>
      </c>
      <c r="P1842" s="7" t="s">
        <v>1241</v>
      </c>
      <c r="AV1842" s="1" t="s">
        <v>38</v>
      </c>
      <c r="BG1842" s="7" t="s">
        <v>1242</v>
      </c>
    </row>
    <row r="1843" spans="1:59" ht="288" x14ac:dyDescent="0.45">
      <c r="A1843" s="5">
        <v>1842</v>
      </c>
      <c r="B1843" s="1" t="s">
        <v>11010</v>
      </c>
      <c r="C1843" s="6"/>
      <c r="E1843" s="1"/>
      <c r="F1843" s="1"/>
      <c r="G1843" s="1"/>
      <c r="J1843" s="1" t="s">
        <v>7559</v>
      </c>
      <c r="K1843" s="2" t="s">
        <v>10366</v>
      </c>
      <c r="P1843" s="7" t="s">
        <v>1241</v>
      </c>
      <c r="AV1843" s="1" t="s">
        <v>38</v>
      </c>
      <c r="BG1843" s="7" t="s">
        <v>1242</v>
      </c>
    </row>
    <row r="1844" spans="1:59" ht="198" x14ac:dyDescent="0.45">
      <c r="A1844" s="5">
        <v>1843</v>
      </c>
      <c r="B1844" s="1" t="s">
        <v>11011</v>
      </c>
      <c r="C1844" s="6"/>
      <c r="E1844" s="1"/>
      <c r="F1844" s="1"/>
      <c r="G1844" s="1"/>
      <c r="J1844" s="1" t="s">
        <v>7559</v>
      </c>
      <c r="K1844" s="11" t="s">
        <v>11912</v>
      </c>
      <c r="P1844" s="7" t="s">
        <v>1241</v>
      </c>
      <c r="AV1844" s="1" t="s">
        <v>38</v>
      </c>
      <c r="BG1844" s="7" t="s">
        <v>1242</v>
      </c>
    </row>
    <row r="1845" spans="1:59" ht="90" x14ac:dyDescent="0.45">
      <c r="A1845" s="5">
        <v>1844</v>
      </c>
      <c r="B1845" s="1" t="s">
        <v>11012</v>
      </c>
      <c r="C1845" s="6"/>
      <c r="E1845" s="1"/>
      <c r="F1845" s="1"/>
      <c r="G1845" s="1"/>
      <c r="J1845" s="1" t="s">
        <v>7559</v>
      </c>
      <c r="K1845" s="2" t="s">
        <v>10367</v>
      </c>
      <c r="P1845" s="7" t="s">
        <v>1241</v>
      </c>
      <c r="AV1845" s="1" t="s">
        <v>38</v>
      </c>
      <c r="BG1845" s="7" t="s">
        <v>1242</v>
      </c>
    </row>
    <row r="1846" spans="1:59" ht="342" x14ac:dyDescent="0.45">
      <c r="A1846" s="5">
        <v>1845</v>
      </c>
      <c r="B1846" s="1" t="s">
        <v>11013</v>
      </c>
      <c r="C1846" s="6"/>
      <c r="E1846" s="1"/>
      <c r="F1846" s="1"/>
      <c r="G1846" s="1"/>
      <c r="J1846" s="1" t="s">
        <v>7559</v>
      </c>
      <c r="K1846" s="2" t="s">
        <v>11776</v>
      </c>
      <c r="P1846" s="7" t="s">
        <v>1241</v>
      </c>
      <c r="AV1846" s="1" t="s">
        <v>38</v>
      </c>
      <c r="BG1846" s="7" t="s">
        <v>1242</v>
      </c>
    </row>
    <row r="1847" spans="1:59" ht="234" x14ac:dyDescent="0.45">
      <c r="A1847" s="5">
        <v>1846</v>
      </c>
      <c r="B1847" s="1" t="s">
        <v>11014</v>
      </c>
      <c r="C1847" s="6"/>
      <c r="E1847" s="1"/>
      <c r="F1847" s="1"/>
      <c r="G1847" s="1"/>
      <c r="J1847" s="1" t="s">
        <v>7559</v>
      </c>
      <c r="K1847" s="2" t="s">
        <v>10368</v>
      </c>
      <c r="P1847" s="7" t="s">
        <v>1241</v>
      </c>
      <c r="AV1847" s="1" t="s">
        <v>38</v>
      </c>
      <c r="BG1847" s="7" t="s">
        <v>1242</v>
      </c>
    </row>
    <row r="1848" spans="1:59" ht="162" x14ac:dyDescent="0.45">
      <c r="A1848" s="5">
        <v>1847</v>
      </c>
      <c r="B1848" s="1" t="s">
        <v>11015</v>
      </c>
      <c r="C1848" s="6"/>
      <c r="E1848" s="1"/>
      <c r="F1848" s="1"/>
      <c r="G1848" s="1"/>
      <c r="J1848" s="1" t="s">
        <v>7559</v>
      </c>
      <c r="K1848" s="2" t="s">
        <v>10369</v>
      </c>
      <c r="P1848" s="7" t="s">
        <v>1241</v>
      </c>
      <c r="AV1848" s="1" t="s">
        <v>38</v>
      </c>
      <c r="BG1848" s="7" t="s">
        <v>1242</v>
      </c>
    </row>
    <row r="1849" spans="1:59" ht="216" x14ac:dyDescent="0.45">
      <c r="A1849" s="5">
        <v>1848</v>
      </c>
      <c r="B1849" s="1" t="s">
        <v>11016</v>
      </c>
      <c r="C1849" s="6"/>
      <c r="E1849" s="1"/>
      <c r="F1849" s="1"/>
      <c r="G1849" s="1"/>
      <c r="J1849" s="1" t="s">
        <v>7559</v>
      </c>
      <c r="K1849" s="11" t="s">
        <v>11913</v>
      </c>
      <c r="P1849" s="7" t="s">
        <v>1241</v>
      </c>
      <c r="AV1849" s="1" t="s">
        <v>38</v>
      </c>
      <c r="BG1849" s="7" t="s">
        <v>1242</v>
      </c>
    </row>
    <row r="1850" spans="1:59" ht="324" x14ac:dyDescent="0.45">
      <c r="A1850" s="5">
        <v>1849</v>
      </c>
      <c r="B1850" s="1" t="s">
        <v>11017</v>
      </c>
      <c r="C1850" s="6"/>
      <c r="E1850" s="1"/>
      <c r="F1850" s="1"/>
      <c r="G1850" s="1"/>
      <c r="J1850" s="1" t="s">
        <v>7559</v>
      </c>
      <c r="K1850" s="2" t="s">
        <v>10370</v>
      </c>
      <c r="P1850" s="7" t="s">
        <v>1241</v>
      </c>
      <c r="AV1850" s="1" t="s">
        <v>38</v>
      </c>
      <c r="BG1850" s="7" t="s">
        <v>1242</v>
      </c>
    </row>
    <row r="1851" spans="1:59" ht="162" x14ac:dyDescent="0.45">
      <c r="A1851" s="5">
        <v>1850</v>
      </c>
      <c r="B1851" s="1" t="s">
        <v>11018</v>
      </c>
      <c r="C1851" s="6"/>
      <c r="E1851" s="1"/>
      <c r="F1851" s="1"/>
      <c r="G1851" s="1"/>
      <c r="J1851" s="1" t="s">
        <v>7559</v>
      </c>
      <c r="K1851" s="2" t="s">
        <v>10371</v>
      </c>
      <c r="P1851" s="7" t="s">
        <v>1241</v>
      </c>
      <c r="AV1851" s="1" t="s">
        <v>38</v>
      </c>
      <c r="BG1851" s="7" t="s">
        <v>1242</v>
      </c>
    </row>
    <row r="1852" spans="1:59" ht="108" x14ac:dyDescent="0.45">
      <c r="A1852" s="5">
        <v>1851</v>
      </c>
      <c r="B1852" s="1" t="s">
        <v>11019</v>
      </c>
      <c r="C1852" s="6"/>
      <c r="E1852" s="1"/>
      <c r="F1852" s="1"/>
      <c r="G1852" s="1"/>
      <c r="J1852" s="1" t="s">
        <v>7559</v>
      </c>
      <c r="K1852" s="2" t="s">
        <v>10372</v>
      </c>
      <c r="P1852" s="7" t="s">
        <v>1241</v>
      </c>
      <c r="AV1852" s="1" t="s">
        <v>38</v>
      </c>
      <c r="BG1852" s="7" t="s">
        <v>1242</v>
      </c>
    </row>
    <row r="1853" spans="1:59" ht="108" x14ac:dyDescent="0.45">
      <c r="A1853" s="5">
        <v>1852</v>
      </c>
      <c r="B1853" s="1" t="s">
        <v>11020</v>
      </c>
      <c r="C1853" s="6"/>
      <c r="E1853" s="1"/>
      <c r="F1853" s="1"/>
      <c r="G1853" s="1"/>
      <c r="J1853" s="1" t="s">
        <v>7559</v>
      </c>
      <c r="K1853" s="2" t="s">
        <v>10373</v>
      </c>
      <c r="P1853" s="7" t="s">
        <v>1241</v>
      </c>
      <c r="AV1853" s="1" t="s">
        <v>38</v>
      </c>
      <c r="BG1853" s="7" t="s">
        <v>1242</v>
      </c>
    </row>
    <row r="1854" spans="1:59" ht="252" x14ac:dyDescent="0.45">
      <c r="A1854" s="5">
        <v>1853</v>
      </c>
      <c r="B1854" s="1" t="s">
        <v>11021</v>
      </c>
      <c r="C1854" s="6"/>
      <c r="E1854" s="1"/>
      <c r="F1854" s="1"/>
      <c r="G1854" s="1"/>
      <c r="J1854" s="1" t="s">
        <v>7559</v>
      </c>
      <c r="K1854" s="11" t="s">
        <v>11914</v>
      </c>
      <c r="P1854" s="7" t="s">
        <v>1241</v>
      </c>
      <c r="AV1854" s="1" t="s">
        <v>38</v>
      </c>
      <c r="BG1854" s="7" t="s">
        <v>1242</v>
      </c>
    </row>
    <row r="1855" spans="1:59" ht="216" x14ac:dyDescent="0.45">
      <c r="A1855" s="5">
        <v>1854</v>
      </c>
      <c r="B1855" s="1" t="s">
        <v>11022</v>
      </c>
      <c r="C1855" s="6"/>
      <c r="E1855" s="1"/>
      <c r="F1855" s="1"/>
      <c r="G1855" s="1"/>
      <c r="J1855" s="1" t="s">
        <v>7559</v>
      </c>
      <c r="K1855" s="11" t="s">
        <v>11915</v>
      </c>
      <c r="P1855" s="7" t="s">
        <v>1241</v>
      </c>
      <c r="AV1855" s="1" t="s">
        <v>38</v>
      </c>
      <c r="BG1855" s="7" t="s">
        <v>1242</v>
      </c>
    </row>
    <row r="1856" spans="1:59" ht="306" x14ac:dyDescent="0.45">
      <c r="A1856" s="5">
        <v>1855</v>
      </c>
      <c r="B1856" s="1" t="s">
        <v>11023</v>
      </c>
      <c r="C1856" s="6"/>
      <c r="E1856" s="1"/>
      <c r="F1856" s="1"/>
      <c r="G1856" s="1"/>
      <c r="J1856" s="1" t="s">
        <v>7559</v>
      </c>
      <c r="K1856" s="2" t="s">
        <v>10374</v>
      </c>
      <c r="P1856" s="7" t="s">
        <v>1241</v>
      </c>
      <c r="AV1856" s="1" t="s">
        <v>38</v>
      </c>
      <c r="BG1856" s="7" t="s">
        <v>1242</v>
      </c>
    </row>
    <row r="1857" spans="1:59" ht="180" x14ac:dyDescent="0.45">
      <c r="A1857" s="5">
        <v>1856</v>
      </c>
      <c r="B1857" s="1" t="s">
        <v>11024</v>
      </c>
      <c r="C1857" s="6"/>
      <c r="E1857" s="1"/>
      <c r="F1857" s="1"/>
      <c r="G1857" s="1"/>
      <c r="J1857" s="1" t="s">
        <v>7559</v>
      </c>
      <c r="K1857" s="2" t="s">
        <v>10375</v>
      </c>
      <c r="P1857" s="7" t="s">
        <v>1241</v>
      </c>
      <c r="AV1857" s="1" t="s">
        <v>38</v>
      </c>
      <c r="BG1857" s="7" t="s">
        <v>1242</v>
      </c>
    </row>
    <row r="1858" spans="1:59" ht="288" x14ac:dyDescent="0.45">
      <c r="A1858" s="5">
        <v>1857</v>
      </c>
      <c r="B1858" s="1" t="s">
        <v>11025</v>
      </c>
      <c r="C1858" s="6"/>
      <c r="E1858" s="1"/>
      <c r="F1858" s="1"/>
      <c r="G1858" s="1"/>
      <c r="J1858" s="1" t="s">
        <v>7559</v>
      </c>
      <c r="K1858" s="11" t="s">
        <v>11916</v>
      </c>
      <c r="P1858" s="7" t="s">
        <v>1241</v>
      </c>
      <c r="AV1858" s="1" t="s">
        <v>38</v>
      </c>
      <c r="BG1858" s="7" t="s">
        <v>1242</v>
      </c>
    </row>
    <row r="1859" spans="1:59" ht="288" x14ac:dyDescent="0.45">
      <c r="A1859" s="5">
        <v>1858</v>
      </c>
      <c r="B1859" s="1" t="s">
        <v>11026</v>
      </c>
      <c r="C1859" s="6"/>
      <c r="E1859" s="1"/>
      <c r="F1859" s="1"/>
      <c r="G1859" s="1"/>
      <c r="J1859" s="1" t="s">
        <v>7559</v>
      </c>
      <c r="K1859" s="11" t="s">
        <v>11917</v>
      </c>
      <c r="P1859" s="7" t="s">
        <v>1241</v>
      </c>
      <c r="AV1859" s="1" t="s">
        <v>38</v>
      </c>
      <c r="BG1859" s="7" t="s">
        <v>1242</v>
      </c>
    </row>
    <row r="1860" spans="1:59" ht="409.6" x14ac:dyDescent="0.45">
      <c r="A1860" s="5">
        <v>1859</v>
      </c>
      <c r="B1860" s="1" t="s">
        <v>11027</v>
      </c>
      <c r="C1860" s="6"/>
      <c r="E1860" s="1"/>
      <c r="F1860" s="1"/>
      <c r="G1860" s="1"/>
      <c r="J1860" s="1" t="s">
        <v>7559</v>
      </c>
      <c r="K1860" s="11" t="s">
        <v>11918</v>
      </c>
      <c r="P1860" s="7" t="s">
        <v>1241</v>
      </c>
      <c r="AV1860" s="1" t="s">
        <v>38</v>
      </c>
      <c r="BG1860" s="7" t="s">
        <v>1242</v>
      </c>
    </row>
    <row r="1861" spans="1:59" ht="409.6" x14ac:dyDescent="0.45">
      <c r="A1861" s="5">
        <v>1860</v>
      </c>
      <c r="B1861" s="1" t="s">
        <v>11028</v>
      </c>
      <c r="C1861" s="6"/>
      <c r="E1861" s="1"/>
      <c r="F1861" s="1"/>
      <c r="G1861" s="1"/>
      <c r="J1861" s="1" t="s">
        <v>7559</v>
      </c>
      <c r="K1861" s="11" t="s">
        <v>11919</v>
      </c>
      <c r="P1861" s="7" t="s">
        <v>1241</v>
      </c>
      <c r="AV1861" s="1" t="s">
        <v>38</v>
      </c>
      <c r="BG1861" s="7" t="s">
        <v>1242</v>
      </c>
    </row>
    <row r="1862" spans="1:59" ht="108" x14ac:dyDescent="0.45">
      <c r="A1862" s="5">
        <v>1861</v>
      </c>
      <c r="B1862" s="1" t="s">
        <v>11029</v>
      </c>
      <c r="C1862" s="6"/>
      <c r="E1862" s="1"/>
      <c r="F1862" s="1"/>
      <c r="G1862" s="1"/>
      <c r="J1862" s="1" t="s">
        <v>7559</v>
      </c>
      <c r="K1862" s="2" t="s">
        <v>10377</v>
      </c>
      <c r="P1862" s="7" t="s">
        <v>1241</v>
      </c>
      <c r="AV1862" s="1" t="s">
        <v>38</v>
      </c>
      <c r="BG1862" s="7" t="s">
        <v>1242</v>
      </c>
    </row>
    <row r="1863" spans="1:59" ht="108" x14ac:dyDescent="0.45">
      <c r="A1863" s="5">
        <v>1862</v>
      </c>
      <c r="B1863" s="1" t="s">
        <v>11030</v>
      </c>
      <c r="C1863" s="6"/>
      <c r="E1863" s="1"/>
      <c r="F1863" s="1"/>
      <c r="G1863" s="1"/>
      <c r="J1863" s="1" t="s">
        <v>7559</v>
      </c>
      <c r="K1863" s="2" t="s">
        <v>10378</v>
      </c>
      <c r="P1863" s="7" t="s">
        <v>1241</v>
      </c>
      <c r="AV1863" s="1" t="s">
        <v>38</v>
      </c>
      <c r="BG1863" s="7" t="s">
        <v>1242</v>
      </c>
    </row>
    <row r="1864" spans="1:59" ht="270" x14ac:dyDescent="0.45">
      <c r="A1864" s="5">
        <v>1863</v>
      </c>
      <c r="B1864" s="1" t="s">
        <v>11031</v>
      </c>
      <c r="C1864" s="6"/>
      <c r="E1864" s="1"/>
      <c r="F1864" s="1"/>
      <c r="G1864" s="1"/>
      <c r="J1864" s="1" t="s">
        <v>7559</v>
      </c>
      <c r="K1864" s="11" t="s">
        <v>11920</v>
      </c>
      <c r="P1864" s="7" t="s">
        <v>1241</v>
      </c>
      <c r="AV1864" s="1" t="s">
        <v>38</v>
      </c>
      <c r="BG1864" s="7" t="s">
        <v>1242</v>
      </c>
    </row>
    <row r="1865" spans="1:59" ht="198" x14ac:dyDescent="0.45">
      <c r="A1865" s="5">
        <v>1864</v>
      </c>
      <c r="B1865" s="1" t="s">
        <v>11032</v>
      </c>
      <c r="C1865" s="6"/>
      <c r="E1865" s="1"/>
      <c r="F1865" s="1"/>
      <c r="G1865" s="1"/>
      <c r="J1865" s="1" t="s">
        <v>7559</v>
      </c>
      <c r="K1865" s="11" t="s">
        <v>11921</v>
      </c>
      <c r="P1865" s="7" t="s">
        <v>1241</v>
      </c>
      <c r="AV1865" s="1" t="s">
        <v>38</v>
      </c>
      <c r="BG1865" s="7" t="s">
        <v>1242</v>
      </c>
    </row>
    <row r="1866" spans="1:59" ht="324" x14ac:dyDescent="0.45">
      <c r="A1866" s="5">
        <v>1865</v>
      </c>
      <c r="B1866" s="1" t="s">
        <v>11033</v>
      </c>
      <c r="C1866" s="6"/>
      <c r="E1866" s="1"/>
      <c r="F1866" s="1"/>
      <c r="G1866" s="1"/>
      <c r="J1866" s="1" t="s">
        <v>7559</v>
      </c>
      <c r="K1866" s="11" t="s">
        <v>11922</v>
      </c>
      <c r="P1866" s="7" t="s">
        <v>1241</v>
      </c>
      <c r="AV1866" s="1" t="s">
        <v>38</v>
      </c>
      <c r="BG1866" s="7" t="s">
        <v>1242</v>
      </c>
    </row>
    <row r="1867" spans="1:59" ht="324" x14ac:dyDescent="0.45">
      <c r="A1867" s="5">
        <v>1866</v>
      </c>
      <c r="B1867" s="1" t="s">
        <v>11034</v>
      </c>
      <c r="C1867" s="6"/>
      <c r="E1867" s="1"/>
      <c r="F1867" s="1"/>
      <c r="G1867" s="1"/>
      <c r="J1867" s="1" t="s">
        <v>7559</v>
      </c>
      <c r="K1867" s="11" t="s">
        <v>11923</v>
      </c>
      <c r="P1867" s="7" t="s">
        <v>1241</v>
      </c>
      <c r="AV1867" s="1" t="s">
        <v>38</v>
      </c>
      <c r="BG1867" s="7" t="s">
        <v>1242</v>
      </c>
    </row>
    <row r="1868" spans="1:59" ht="234" x14ac:dyDescent="0.45">
      <c r="A1868" s="5">
        <v>1867</v>
      </c>
      <c r="B1868" s="1" t="s">
        <v>11035</v>
      </c>
      <c r="C1868" s="6"/>
      <c r="E1868" s="1"/>
      <c r="F1868" s="1"/>
      <c r="G1868" s="1"/>
      <c r="J1868" s="1" t="s">
        <v>7559</v>
      </c>
      <c r="K1868" s="11" t="s">
        <v>11924</v>
      </c>
      <c r="P1868" s="7" t="s">
        <v>1241</v>
      </c>
      <c r="AV1868" s="1" t="s">
        <v>38</v>
      </c>
      <c r="BG1868" s="7" t="s">
        <v>1242</v>
      </c>
    </row>
    <row r="1869" spans="1:59" ht="234" x14ac:dyDescent="0.45">
      <c r="A1869" s="5">
        <v>1868</v>
      </c>
      <c r="B1869" s="1" t="s">
        <v>11036</v>
      </c>
      <c r="C1869" s="6"/>
      <c r="E1869" s="1"/>
      <c r="F1869" s="1"/>
      <c r="G1869" s="1"/>
      <c r="J1869" s="1" t="s">
        <v>7559</v>
      </c>
      <c r="K1869" s="11" t="s">
        <v>11925</v>
      </c>
      <c r="P1869" s="7" t="s">
        <v>1241</v>
      </c>
      <c r="AV1869" s="1" t="s">
        <v>38</v>
      </c>
      <c r="BG1869" s="7" t="s">
        <v>1242</v>
      </c>
    </row>
    <row r="1870" spans="1:59" ht="409.6" x14ac:dyDescent="0.45">
      <c r="A1870" s="5">
        <v>1869</v>
      </c>
      <c r="B1870" s="1" t="s">
        <v>11037</v>
      </c>
      <c r="C1870" s="6"/>
      <c r="E1870" s="1"/>
      <c r="F1870" s="1"/>
      <c r="G1870" s="1"/>
      <c r="J1870" s="1" t="s">
        <v>7559</v>
      </c>
      <c r="K1870" s="2" t="s">
        <v>10707</v>
      </c>
      <c r="P1870" s="7" t="s">
        <v>1241</v>
      </c>
      <c r="AV1870" s="1" t="s">
        <v>38</v>
      </c>
      <c r="BG1870" s="7" t="s">
        <v>1242</v>
      </c>
    </row>
    <row r="1871" spans="1:59" ht="90" x14ac:dyDescent="0.45">
      <c r="A1871" s="5">
        <v>1870</v>
      </c>
      <c r="B1871" s="1" t="s">
        <v>11038</v>
      </c>
      <c r="C1871" s="6"/>
      <c r="E1871" s="1"/>
      <c r="F1871" s="1"/>
      <c r="G1871" s="1"/>
      <c r="J1871" s="1" t="s">
        <v>7559</v>
      </c>
      <c r="K1871" s="2" t="s">
        <v>10379</v>
      </c>
      <c r="P1871" s="7" t="s">
        <v>1241</v>
      </c>
      <c r="AV1871" s="1" t="s">
        <v>38</v>
      </c>
      <c r="BG1871" s="7" t="s">
        <v>1242</v>
      </c>
    </row>
    <row r="1872" spans="1:59" ht="252" x14ac:dyDescent="0.45">
      <c r="A1872" s="5">
        <v>1871</v>
      </c>
      <c r="B1872" s="1" t="s">
        <v>11039</v>
      </c>
      <c r="C1872" s="6"/>
      <c r="E1872" s="1"/>
      <c r="F1872" s="1"/>
      <c r="G1872" s="1"/>
      <c r="J1872" s="1" t="s">
        <v>7559</v>
      </c>
      <c r="K1872" s="11" t="s">
        <v>11926</v>
      </c>
      <c r="P1872" s="7" t="s">
        <v>1241</v>
      </c>
      <c r="AV1872" s="1" t="s">
        <v>38</v>
      </c>
      <c r="BG1872" s="7" t="s">
        <v>1242</v>
      </c>
    </row>
    <row r="1873" spans="1:59" ht="270" x14ac:dyDescent="0.45">
      <c r="A1873" s="5">
        <v>1872</v>
      </c>
      <c r="B1873" s="1" t="s">
        <v>11040</v>
      </c>
      <c r="C1873" s="6"/>
      <c r="E1873" s="1"/>
      <c r="F1873" s="1"/>
      <c r="G1873" s="1"/>
      <c r="J1873" s="1" t="s">
        <v>7559</v>
      </c>
      <c r="K1873" s="11" t="s">
        <v>11927</v>
      </c>
      <c r="P1873" s="7" t="s">
        <v>1241</v>
      </c>
      <c r="AV1873" s="1" t="s">
        <v>38</v>
      </c>
      <c r="BG1873" s="7" t="s">
        <v>1242</v>
      </c>
    </row>
    <row r="1874" spans="1:59" ht="252" x14ac:dyDescent="0.45">
      <c r="A1874" s="5">
        <v>1873</v>
      </c>
      <c r="B1874" s="1" t="s">
        <v>11041</v>
      </c>
      <c r="C1874" s="6"/>
      <c r="E1874" s="1"/>
      <c r="F1874" s="1"/>
      <c r="G1874" s="1"/>
      <c r="J1874" s="1" t="s">
        <v>7559</v>
      </c>
      <c r="K1874" s="2" t="s">
        <v>10380</v>
      </c>
      <c r="P1874" s="7" t="s">
        <v>1241</v>
      </c>
      <c r="AV1874" s="1" t="s">
        <v>38</v>
      </c>
      <c r="BG1874" s="7" t="s">
        <v>1242</v>
      </c>
    </row>
    <row r="1875" spans="1:59" ht="126" x14ac:dyDescent="0.45">
      <c r="A1875" s="5">
        <v>1874</v>
      </c>
      <c r="B1875" s="1" t="s">
        <v>11042</v>
      </c>
      <c r="C1875" s="6"/>
      <c r="E1875" s="1"/>
      <c r="F1875" s="1"/>
      <c r="G1875" s="1"/>
      <c r="J1875" s="1" t="s">
        <v>7559</v>
      </c>
      <c r="K1875" s="2" t="s">
        <v>10381</v>
      </c>
      <c r="P1875" s="7" t="s">
        <v>1241</v>
      </c>
      <c r="AV1875" s="1" t="s">
        <v>38</v>
      </c>
      <c r="BG1875" s="7" t="s">
        <v>1242</v>
      </c>
    </row>
    <row r="1876" spans="1:59" ht="252" x14ac:dyDescent="0.45">
      <c r="A1876" s="5">
        <v>1875</v>
      </c>
      <c r="B1876" s="1" t="s">
        <v>11043</v>
      </c>
      <c r="C1876" s="6"/>
      <c r="E1876" s="1"/>
      <c r="F1876" s="1"/>
      <c r="G1876" s="1"/>
      <c r="J1876" s="1" t="s">
        <v>7559</v>
      </c>
      <c r="K1876" s="11" t="s">
        <v>11928</v>
      </c>
      <c r="P1876" s="7" t="s">
        <v>1241</v>
      </c>
      <c r="AV1876" s="1" t="s">
        <v>38</v>
      </c>
      <c r="BG1876" s="7" t="s">
        <v>1242</v>
      </c>
    </row>
    <row r="1877" spans="1:59" ht="270" x14ac:dyDescent="0.45">
      <c r="A1877" s="5">
        <v>1876</v>
      </c>
      <c r="B1877" s="1" t="s">
        <v>11044</v>
      </c>
      <c r="C1877" s="6"/>
      <c r="E1877" s="1"/>
      <c r="F1877" s="1"/>
      <c r="G1877" s="1"/>
      <c r="J1877" s="1" t="s">
        <v>7559</v>
      </c>
      <c r="K1877" s="11" t="s">
        <v>11929</v>
      </c>
      <c r="P1877" s="7" t="s">
        <v>1241</v>
      </c>
      <c r="AV1877" s="1" t="s">
        <v>38</v>
      </c>
      <c r="BG1877" s="7" t="s">
        <v>1242</v>
      </c>
    </row>
    <row r="1878" spans="1:59" ht="252" x14ac:dyDescent="0.45">
      <c r="A1878" s="5">
        <v>1877</v>
      </c>
      <c r="B1878" s="1" t="s">
        <v>11045</v>
      </c>
      <c r="C1878" s="6"/>
      <c r="E1878" s="1"/>
      <c r="F1878" s="1"/>
      <c r="G1878" s="1"/>
      <c r="J1878" s="1" t="s">
        <v>7559</v>
      </c>
      <c r="K1878" s="11" t="s">
        <v>11930</v>
      </c>
      <c r="P1878" s="7" t="s">
        <v>1241</v>
      </c>
      <c r="AV1878" s="1" t="s">
        <v>38</v>
      </c>
      <c r="BG1878" s="7" t="s">
        <v>1242</v>
      </c>
    </row>
    <row r="1879" spans="1:59" ht="324" x14ac:dyDescent="0.45">
      <c r="A1879" s="5">
        <v>1878</v>
      </c>
      <c r="B1879" s="1" t="s">
        <v>11046</v>
      </c>
      <c r="C1879" s="6"/>
      <c r="E1879" s="1"/>
      <c r="F1879" s="1"/>
      <c r="G1879" s="1"/>
      <c r="J1879" s="1" t="s">
        <v>7559</v>
      </c>
      <c r="K1879" s="11" t="s">
        <v>11931</v>
      </c>
      <c r="P1879" s="7" t="s">
        <v>1241</v>
      </c>
      <c r="AV1879" s="1" t="s">
        <v>38</v>
      </c>
      <c r="BG1879" s="7" t="s">
        <v>1242</v>
      </c>
    </row>
    <row r="1880" spans="1:59" ht="342" x14ac:dyDescent="0.45">
      <c r="A1880" s="5">
        <v>1879</v>
      </c>
      <c r="B1880" s="1" t="s">
        <v>11047</v>
      </c>
      <c r="C1880" s="6"/>
      <c r="E1880" s="1"/>
      <c r="F1880" s="1"/>
      <c r="G1880" s="1"/>
      <c r="J1880" s="1" t="s">
        <v>7559</v>
      </c>
      <c r="K1880" s="11" t="s">
        <v>11932</v>
      </c>
      <c r="P1880" s="7" t="s">
        <v>1241</v>
      </c>
      <c r="AV1880" s="1" t="s">
        <v>38</v>
      </c>
      <c r="BG1880" s="7" t="s">
        <v>1242</v>
      </c>
    </row>
    <row r="1881" spans="1:59" ht="396" x14ac:dyDescent="0.45">
      <c r="A1881" s="5">
        <v>1880</v>
      </c>
      <c r="B1881" s="1" t="s">
        <v>11048</v>
      </c>
      <c r="C1881" s="6"/>
      <c r="E1881" s="1"/>
      <c r="F1881" s="1"/>
      <c r="G1881" s="1"/>
      <c r="J1881" s="1" t="s">
        <v>7559</v>
      </c>
      <c r="K1881" s="11" t="s">
        <v>11933</v>
      </c>
      <c r="P1881" s="7" t="s">
        <v>1241</v>
      </c>
      <c r="AV1881" s="1" t="s">
        <v>38</v>
      </c>
      <c r="BG1881" s="7" t="s">
        <v>1242</v>
      </c>
    </row>
    <row r="1882" spans="1:59" ht="409.6" x14ac:dyDescent="0.45">
      <c r="A1882" s="5">
        <v>1881</v>
      </c>
      <c r="B1882" s="1" t="s">
        <v>11049</v>
      </c>
      <c r="C1882" s="6"/>
      <c r="E1882" s="1"/>
      <c r="F1882" s="1"/>
      <c r="G1882" s="1"/>
      <c r="J1882" s="1" t="s">
        <v>7559</v>
      </c>
      <c r="K1882" s="11" t="s">
        <v>11934</v>
      </c>
      <c r="P1882" s="7" t="s">
        <v>1241</v>
      </c>
      <c r="AV1882" s="1" t="s">
        <v>38</v>
      </c>
      <c r="BG1882" s="7" t="s">
        <v>1242</v>
      </c>
    </row>
    <row r="1883" spans="1:59" ht="306" x14ac:dyDescent="0.45">
      <c r="A1883" s="5">
        <v>1882</v>
      </c>
      <c r="B1883" s="1" t="s">
        <v>11050</v>
      </c>
      <c r="C1883" s="6"/>
      <c r="E1883" s="1"/>
      <c r="F1883" s="1"/>
      <c r="G1883" s="1"/>
      <c r="J1883" s="1" t="s">
        <v>7559</v>
      </c>
      <c r="K1883" s="11" t="s">
        <v>11935</v>
      </c>
      <c r="P1883" s="7" t="s">
        <v>1241</v>
      </c>
      <c r="AV1883" s="1" t="s">
        <v>38</v>
      </c>
      <c r="BG1883" s="7" t="s">
        <v>1242</v>
      </c>
    </row>
    <row r="1884" spans="1:59" ht="270" x14ac:dyDescent="0.45">
      <c r="A1884" s="5">
        <v>1883</v>
      </c>
      <c r="B1884" s="1" t="s">
        <v>11051</v>
      </c>
      <c r="C1884" s="6"/>
      <c r="E1884" s="1"/>
      <c r="F1884" s="1"/>
      <c r="G1884" s="1"/>
      <c r="J1884" s="1" t="s">
        <v>7559</v>
      </c>
      <c r="K1884" s="11" t="s">
        <v>11936</v>
      </c>
      <c r="P1884" s="7" t="s">
        <v>1241</v>
      </c>
      <c r="AV1884" s="1" t="s">
        <v>38</v>
      </c>
      <c r="BG1884" s="7" t="s">
        <v>1242</v>
      </c>
    </row>
    <row r="1885" spans="1:59" ht="270" x14ac:dyDescent="0.45">
      <c r="A1885" s="5">
        <v>1884</v>
      </c>
      <c r="B1885" s="1" t="s">
        <v>11052</v>
      </c>
      <c r="C1885" s="6"/>
      <c r="E1885" s="1"/>
      <c r="F1885" s="1"/>
      <c r="G1885" s="1"/>
      <c r="J1885" s="1" t="s">
        <v>7559</v>
      </c>
      <c r="K1885" s="11" t="s">
        <v>11937</v>
      </c>
      <c r="P1885" s="7" t="s">
        <v>1241</v>
      </c>
      <c r="AV1885" s="1" t="s">
        <v>38</v>
      </c>
      <c r="BG1885" s="7" t="s">
        <v>1242</v>
      </c>
    </row>
    <row r="1886" spans="1:59" ht="306" x14ac:dyDescent="0.45">
      <c r="A1886" s="5">
        <v>1885</v>
      </c>
      <c r="B1886" s="1" t="s">
        <v>11053</v>
      </c>
      <c r="C1886" s="6"/>
      <c r="E1886" s="1"/>
      <c r="F1886" s="1"/>
      <c r="G1886" s="1"/>
      <c r="J1886" s="1" t="s">
        <v>7559</v>
      </c>
      <c r="K1886" s="11" t="s">
        <v>11938</v>
      </c>
      <c r="P1886" s="7" t="s">
        <v>1241</v>
      </c>
      <c r="AV1886" s="1" t="s">
        <v>38</v>
      </c>
      <c r="BG1886" s="7" t="s">
        <v>1242</v>
      </c>
    </row>
    <row r="1887" spans="1:59" ht="409.6" x14ac:dyDescent="0.45">
      <c r="A1887" s="5">
        <v>1886</v>
      </c>
      <c r="B1887" s="1" t="s">
        <v>11054</v>
      </c>
      <c r="C1887" s="6"/>
      <c r="E1887" s="1"/>
      <c r="F1887" s="1"/>
      <c r="G1887" s="1"/>
      <c r="J1887" s="1" t="s">
        <v>7559</v>
      </c>
      <c r="K1887" s="11" t="s">
        <v>11939</v>
      </c>
      <c r="P1887" s="7" t="s">
        <v>1241</v>
      </c>
      <c r="AV1887" s="1" t="s">
        <v>38</v>
      </c>
      <c r="BG1887" s="7" t="s">
        <v>1242</v>
      </c>
    </row>
    <row r="1888" spans="1:59" ht="234" x14ac:dyDescent="0.45">
      <c r="A1888" s="5">
        <v>1887</v>
      </c>
      <c r="B1888" s="1" t="s">
        <v>11055</v>
      </c>
      <c r="C1888" s="6"/>
      <c r="E1888" s="1"/>
      <c r="F1888" s="1"/>
      <c r="G1888" s="1"/>
      <c r="J1888" s="1" t="s">
        <v>7559</v>
      </c>
      <c r="K1888" s="11" t="s">
        <v>11940</v>
      </c>
      <c r="P1888" s="7" t="s">
        <v>1241</v>
      </c>
      <c r="AV1888" s="1" t="s">
        <v>38</v>
      </c>
      <c r="BG1888" s="7" t="s">
        <v>1242</v>
      </c>
    </row>
    <row r="1889" spans="1:59" ht="216" x14ac:dyDescent="0.45">
      <c r="A1889" s="5">
        <v>1888</v>
      </c>
      <c r="B1889" s="1" t="s">
        <v>11056</v>
      </c>
      <c r="C1889" s="6"/>
      <c r="E1889" s="1"/>
      <c r="F1889" s="1"/>
      <c r="G1889" s="1"/>
      <c r="J1889" s="1" t="s">
        <v>7559</v>
      </c>
      <c r="K1889" s="11" t="s">
        <v>11941</v>
      </c>
      <c r="P1889" s="7" t="s">
        <v>1241</v>
      </c>
      <c r="AV1889" s="1" t="s">
        <v>38</v>
      </c>
      <c r="BG1889" s="7" t="s">
        <v>1242</v>
      </c>
    </row>
    <row r="1890" spans="1:59" ht="180" x14ac:dyDescent="0.45">
      <c r="A1890" s="5">
        <v>1889</v>
      </c>
      <c r="B1890" s="1" t="s">
        <v>11057</v>
      </c>
      <c r="C1890" s="6"/>
      <c r="E1890" s="1"/>
      <c r="F1890" s="1"/>
      <c r="G1890" s="1"/>
      <c r="J1890" s="1" t="s">
        <v>7559</v>
      </c>
      <c r="K1890" s="2" t="s">
        <v>10382</v>
      </c>
      <c r="P1890" s="7" t="s">
        <v>1241</v>
      </c>
      <c r="AV1890" s="1" t="s">
        <v>38</v>
      </c>
      <c r="BG1890" s="7" t="s">
        <v>1242</v>
      </c>
    </row>
    <row r="1891" spans="1:59" ht="324" x14ac:dyDescent="0.45">
      <c r="A1891" s="5">
        <v>1890</v>
      </c>
      <c r="B1891" s="1" t="s">
        <v>11058</v>
      </c>
      <c r="C1891" s="6"/>
      <c r="E1891" s="1"/>
      <c r="F1891" s="1"/>
      <c r="G1891" s="1"/>
      <c r="J1891" s="1" t="s">
        <v>7559</v>
      </c>
      <c r="K1891" s="11" t="s">
        <v>11942</v>
      </c>
      <c r="P1891" s="7" t="s">
        <v>1241</v>
      </c>
      <c r="AV1891" s="1" t="s">
        <v>38</v>
      </c>
      <c r="BG1891" s="7" t="s">
        <v>1242</v>
      </c>
    </row>
    <row r="1892" spans="1:59" ht="409.6" x14ac:dyDescent="0.45">
      <c r="A1892" s="5">
        <v>1891</v>
      </c>
      <c r="B1892" s="1" t="s">
        <v>11059</v>
      </c>
      <c r="C1892" s="6"/>
      <c r="E1892" s="1"/>
      <c r="F1892" s="1"/>
      <c r="G1892" s="1"/>
      <c r="J1892" s="1" t="s">
        <v>7559</v>
      </c>
      <c r="K1892" s="11" t="s">
        <v>11943</v>
      </c>
      <c r="P1892" s="7" t="s">
        <v>1241</v>
      </c>
      <c r="AV1892" s="1" t="s">
        <v>38</v>
      </c>
      <c r="BG1892" s="7" t="s">
        <v>1242</v>
      </c>
    </row>
    <row r="1893" spans="1:59" ht="324" x14ac:dyDescent="0.45">
      <c r="A1893" s="5">
        <v>1892</v>
      </c>
      <c r="B1893" s="1" t="s">
        <v>11060</v>
      </c>
      <c r="C1893" s="6"/>
      <c r="E1893" s="1"/>
      <c r="F1893" s="1"/>
      <c r="G1893" s="1"/>
      <c r="J1893" s="1" t="s">
        <v>7559</v>
      </c>
      <c r="K1893" s="11" t="s">
        <v>11944</v>
      </c>
      <c r="P1893" s="7" t="s">
        <v>1241</v>
      </c>
      <c r="AV1893" s="1" t="s">
        <v>38</v>
      </c>
      <c r="BG1893" s="7" t="s">
        <v>1242</v>
      </c>
    </row>
    <row r="1894" spans="1:59" ht="252" x14ac:dyDescent="0.45">
      <c r="A1894" s="5">
        <v>1893</v>
      </c>
      <c r="B1894" s="1" t="s">
        <v>11061</v>
      </c>
      <c r="C1894" s="6"/>
      <c r="E1894" s="1"/>
      <c r="F1894" s="1"/>
      <c r="G1894" s="1"/>
      <c r="J1894" s="1" t="s">
        <v>7559</v>
      </c>
      <c r="K1894" s="11" t="s">
        <v>11945</v>
      </c>
      <c r="P1894" s="7" t="s">
        <v>1241</v>
      </c>
      <c r="AV1894" s="1" t="s">
        <v>38</v>
      </c>
      <c r="BG1894" s="7" t="s">
        <v>1242</v>
      </c>
    </row>
    <row r="1895" spans="1:59" ht="409.6" x14ac:dyDescent="0.45">
      <c r="A1895" s="5">
        <v>1894</v>
      </c>
      <c r="B1895" s="1" t="s">
        <v>11062</v>
      </c>
      <c r="C1895" s="6"/>
      <c r="E1895" s="1"/>
      <c r="F1895" s="1"/>
      <c r="G1895" s="1"/>
      <c r="J1895" s="1" t="s">
        <v>7559</v>
      </c>
      <c r="K1895" s="11" t="s">
        <v>11946</v>
      </c>
      <c r="P1895" s="7" t="s">
        <v>1241</v>
      </c>
      <c r="AV1895" s="1" t="s">
        <v>38</v>
      </c>
      <c r="BG1895" s="7" t="s">
        <v>1242</v>
      </c>
    </row>
    <row r="1896" spans="1:59" ht="409.6" x14ac:dyDescent="0.45">
      <c r="A1896" s="5">
        <v>1895</v>
      </c>
      <c r="B1896" s="1" t="s">
        <v>11063</v>
      </c>
      <c r="C1896" s="6"/>
      <c r="E1896" s="1"/>
      <c r="F1896" s="1"/>
      <c r="G1896" s="1"/>
      <c r="J1896" s="1" t="s">
        <v>7559</v>
      </c>
      <c r="K1896" s="11" t="s">
        <v>11947</v>
      </c>
      <c r="P1896" s="7" t="s">
        <v>1241</v>
      </c>
      <c r="AV1896" s="1" t="s">
        <v>38</v>
      </c>
      <c r="BG1896" s="7" t="s">
        <v>1242</v>
      </c>
    </row>
    <row r="1897" spans="1:59" ht="324" x14ac:dyDescent="0.45">
      <c r="A1897" s="5">
        <v>1896</v>
      </c>
      <c r="B1897" s="1" t="s">
        <v>11064</v>
      </c>
      <c r="C1897" s="6"/>
      <c r="E1897" s="1"/>
      <c r="F1897" s="1"/>
      <c r="G1897" s="1"/>
      <c r="J1897" s="1" t="s">
        <v>7559</v>
      </c>
      <c r="K1897" s="11" t="s">
        <v>11948</v>
      </c>
      <c r="P1897" s="7" t="s">
        <v>1241</v>
      </c>
      <c r="AV1897" s="1" t="s">
        <v>38</v>
      </c>
      <c r="BG1897" s="7" t="s">
        <v>1242</v>
      </c>
    </row>
    <row r="1898" spans="1:59" ht="216" x14ac:dyDescent="0.45">
      <c r="A1898" s="5">
        <v>1897</v>
      </c>
      <c r="B1898" s="1" t="s">
        <v>11065</v>
      </c>
      <c r="C1898" s="6"/>
      <c r="E1898" s="1"/>
      <c r="F1898" s="1"/>
      <c r="G1898" s="1"/>
      <c r="J1898" s="1" t="s">
        <v>7559</v>
      </c>
      <c r="K1898" s="11" t="s">
        <v>11949</v>
      </c>
      <c r="P1898" s="7" t="s">
        <v>1241</v>
      </c>
      <c r="AV1898" s="1" t="s">
        <v>38</v>
      </c>
      <c r="BG1898" s="7" t="s">
        <v>1242</v>
      </c>
    </row>
    <row r="1899" spans="1:59" ht="306" x14ac:dyDescent="0.45">
      <c r="A1899" s="5">
        <v>1898</v>
      </c>
      <c r="B1899" s="1" t="s">
        <v>11066</v>
      </c>
      <c r="C1899" s="6"/>
      <c r="E1899" s="1"/>
      <c r="F1899" s="1"/>
      <c r="G1899" s="1"/>
      <c r="J1899" s="1" t="s">
        <v>7559</v>
      </c>
      <c r="K1899" s="11" t="s">
        <v>11950</v>
      </c>
      <c r="P1899" s="7" t="s">
        <v>1241</v>
      </c>
      <c r="AV1899" s="1" t="s">
        <v>38</v>
      </c>
      <c r="BG1899" s="7" t="s">
        <v>1242</v>
      </c>
    </row>
    <row r="1900" spans="1:59" ht="324" x14ac:dyDescent="0.45">
      <c r="A1900" s="5">
        <v>1899</v>
      </c>
      <c r="B1900" s="1" t="s">
        <v>11067</v>
      </c>
      <c r="C1900" s="6"/>
      <c r="E1900" s="1"/>
      <c r="F1900" s="1"/>
      <c r="G1900" s="1"/>
      <c r="J1900" s="1" t="s">
        <v>7559</v>
      </c>
      <c r="K1900" s="11" t="s">
        <v>11951</v>
      </c>
      <c r="P1900" s="7" t="s">
        <v>1241</v>
      </c>
      <c r="AV1900" s="1" t="s">
        <v>38</v>
      </c>
      <c r="BG1900" s="7" t="s">
        <v>1242</v>
      </c>
    </row>
    <row r="1901" spans="1:59" ht="306" x14ac:dyDescent="0.45">
      <c r="A1901" s="5">
        <v>1900</v>
      </c>
      <c r="B1901" s="1" t="s">
        <v>11068</v>
      </c>
      <c r="C1901" s="6"/>
      <c r="E1901" s="1"/>
      <c r="F1901" s="1"/>
      <c r="G1901" s="1"/>
      <c r="J1901" s="1" t="s">
        <v>7559</v>
      </c>
      <c r="K1901" s="11" t="s">
        <v>11952</v>
      </c>
      <c r="P1901" s="7" t="s">
        <v>1241</v>
      </c>
      <c r="AV1901" s="1" t="s">
        <v>38</v>
      </c>
      <c r="BG1901" s="7" t="s">
        <v>1242</v>
      </c>
    </row>
    <row r="1902" spans="1:59" ht="288" x14ac:dyDescent="0.45">
      <c r="A1902" s="5">
        <v>1901</v>
      </c>
      <c r="B1902" s="1" t="s">
        <v>11069</v>
      </c>
      <c r="C1902" s="6"/>
      <c r="E1902" s="1"/>
      <c r="F1902" s="1"/>
      <c r="G1902" s="1"/>
      <c r="J1902" s="1" t="s">
        <v>7559</v>
      </c>
      <c r="K1902" s="11" t="s">
        <v>11953</v>
      </c>
      <c r="P1902" s="7" t="s">
        <v>1241</v>
      </c>
      <c r="AV1902" s="1" t="s">
        <v>38</v>
      </c>
      <c r="BG1902" s="7" t="s">
        <v>1242</v>
      </c>
    </row>
    <row r="1903" spans="1:59" ht="324" x14ac:dyDescent="0.45">
      <c r="A1903" s="5">
        <v>1902</v>
      </c>
      <c r="B1903" s="1" t="s">
        <v>11070</v>
      </c>
      <c r="C1903" s="6"/>
      <c r="E1903" s="1"/>
      <c r="F1903" s="1"/>
      <c r="G1903" s="1"/>
      <c r="J1903" s="1" t="s">
        <v>7559</v>
      </c>
      <c r="K1903" s="11" t="s">
        <v>11954</v>
      </c>
      <c r="P1903" s="7" t="s">
        <v>1241</v>
      </c>
      <c r="AV1903" s="1" t="s">
        <v>38</v>
      </c>
      <c r="BG1903" s="7" t="s">
        <v>1242</v>
      </c>
    </row>
    <row r="1904" spans="1:59" ht="252" x14ac:dyDescent="0.45">
      <c r="A1904" s="5">
        <v>1903</v>
      </c>
      <c r="B1904" s="1" t="s">
        <v>11071</v>
      </c>
      <c r="C1904" s="6"/>
      <c r="E1904" s="1"/>
      <c r="F1904" s="1"/>
      <c r="G1904" s="1"/>
      <c r="J1904" s="1" t="s">
        <v>7559</v>
      </c>
      <c r="K1904" s="11" t="s">
        <v>11955</v>
      </c>
      <c r="P1904" s="7" t="s">
        <v>1241</v>
      </c>
      <c r="AV1904" s="1" t="s">
        <v>38</v>
      </c>
      <c r="BG1904" s="7" t="s">
        <v>1242</v>
      </c>
    </row>
    <row r="1905" spans="1:59" ht="288" x14ac:dyDescent="0.45">
      <c r="A1905" s="5">
        <v>1904</v>
      </c>
      <c r="B1905" s="1" t="s">
        <v>11072</v>
      </c>
      <c r="C1905" s="6"/>
      <c r="E1905" s="1"/>
      <c r="F1905" s="1"/>
      <c r="G1905" s="1"/>
      <c r="J1905" s="1" t="s">
        <v>7559</v>
      </c>
      <c r="K1905" s="11" t="s">
        <v>11956</v>
      </c>
      <c r="P1905" s="7" t="s">
        <v>1241</v>
      </c>
      <c r="AV1905" s="1" t="s">
        <v>38</v>
      </c>
      <c r="BG1905" s="7" t="s">
        <v>1242</v>
      </c>
    </row>
    <row r="1906" spans="1:59" ht="409.6" x14ac:dyDescent="0.45">
      <c r="A1906" s="5">
        <v>1905</v>
      </c>
      <c r="B1906" s="1" t="s">
        <v>11073</v>
      </c>
      <c r="C1906" s="6"/>
      <c r="E1906" s="1"/>
      <c r="F1906" s="1"/>
      <c r="G1906" s="1"/>
      <c r="J1906" s="1" t="s">
        <v>7559</v>
      </c>
      <c r="K1906" s="2" t="s">
        <v>11773</v>
      </c>
      <c r="P1906" s="7" t="s">
        <v>1241</v>
      </c>
      <c r="AV1906" s="1" t="s">
        <v>38</v>
      </c>
      <c r="BG1906" s="7" t="s">
        <v>1242</v>
      </c>
    </row>
    <row r="1907" spans="1:59" ht="198" x14ac:dyDescent="0.45">
      <c r="A1907" s="5">
        <v>1906</v>
      </c>
      <c r="B1907" s="1" t="s">
        <v>11074</v>
      </c>
      <c r="C1907" s="6"/>
      <c r="E1907" s="1"/>
      <c r="F1907" s="1"/>
      <c r="G1907" s="1"/>
      <c r="J1907" s="1" t="s">
        <v>7559</v>
      </c>
      <c r="K1907" s="11" t="s">
        <v>11957</v>
      </c>
      <c r="P1907" s="7" t="s">
        <v>1241</v>
      </c>
      <c r="AV1907" s="1" t="s">
        <v>38</v>
      </c>
      <c r="BG1907" s="7" t="s">
        <v>1242</v>
      </c>
    </row>
    <row r="1908" spans="1:59" ht="198" x14ac:dyDescent="0.45">
      <c r="A1908" s="5">
        <v>1907</v>
      </c>
      <c r="B1908" s="1" t="s">
        <v>11075</v>
      </c>
      <c r="C1908" s="6"/>
      <c r="E1908" s="1"/>
      <c r="F1908" s="1"/>
      <c r="G1908" s="1"/>
      <c r="J1908" s="1" t="s">
        <v>7559</v>
      </c>
      <c r="K1908" s="2" t="s">
        <v>10387</v>
      </c>
      <c r="P1908" s="7" t="s">
        <v>1241</v>
      </c>
      <c r="AV1908" s="1" t="s">
        <v>38</v>
      </c>
      <c r="BG1908" s="7" t="s">
        <v>1242</v>
      </c>
    </row>
    <row r="1909" spans="1:59" ht="396" x14ac:dyDescent="0.45">
      <c r="A1909" s="5">
        <v>1908</v>
      </c>
      <c r="B1909" s="1" t="s">
        <v>11076</v>
      </c>
      <c r="C1909" s="6"/>
      <c r="E1909" s="1"/>
      <c r="F1909" s="1"/>
      <c r="G1909" s="1"/>
      <c r="J1909" s="1" t="s">
        <v>7559</v>
      </c>
      <c r="K1909" s="11" t="s">
        <v>11958</v>
      </c>
      <c r="P1909" s="7" t="s">
        <v>1241</v>
      </c>
      <c r="AV1909" s="1" t="s">
        <v>38</v>
      </c>
      <c r="BG1909" s="7" t="s">
        <v>1242</v>
      </c>
    </row>
    <row r="1910" spans="1:59" ht="270" x14ac:dyDescent="0.45">
      <c r="A1910" s="5">
        <v>1909</v>
      </c>
      <c r="B1910" s="1" t="s">
        <v>11077</v>
      </c>
      <c r="C1910" s="6"/>
      <c r="E1910" s="1"/>
      <c r="F1910" s="1"/>
      <c r="G1910" s="1"/>
      <c r="J1910" s="1" t="s">
        <v>7559</v>
      </c>
      <c r="K1910" s="11" t="s">
        <v>11959</v>
      </c>
      <c r="P1910" s="7" t="s">
        <v>1241</v>
      </c>
      <c r="AV1910" s="1" t="s">
        <v>38</v>
      </c>
      <c r="BG1910" s="7" t="s">
        <v>1242</v>
      </c>
    </row>
    <row r="1911" spans="1:59" ht="162" x14ac:dyDescent="0.45">
      <c r="A1911" s="5">
        <v>1910</v>
      </c>
      <c r="B1911" s="1" t="s">
        <v>11078</v>
      </c>
      <c r="C1911" s="6"/>
      <c r="E1911" s="1"/>
      <c r="F1911" s="1"/>
      <c r="G1911" s="1"/>
      <c r="J1911" s="1" t="s">
        <v>7559</v>
      </c>
      <c r="K1911" s="2" t="s">
        <v>10388</v>
      </c>
      <c r="P1911" s="7" t="s">
        <v>1241</v>
      </c>
      <c r="AV1911" s="1" t="s">
        <v>38</v>
      </c>
      <c r="BG1911" s="7" t="s">
        <v>1242</v>
      </c>
    </row>
    <row r="1912" spans="1:59" ht="234" x14ac:dyDescent="0.45">
      <c r="A1912" s="5">
        <v>1911</v>
      </c>
      <c r="B1912" s="1" t="s">
        <v>11079</v>
      </c>
      <c r="C1912" s="6"/>
      <c r="E1912" s="1"/>
      <c r="F1912" s="1"/>
      <c r="G1912" s="1"/>
      <c r="J1912" s="1" t="s">
        <v>7559</v>
      </c>
      <c r="K1912" s="11" t="s">
        <v>11960</v>
      </c>
      <c r="P1912" s="7" t="s">
        <v>1241</v>
      </c>
      <c r="AV1912" s="1" t="s">
        <v>38</v>
      </c>
      <c r="BG1912" s="7" t="s">
        <v>1242</v>
      </c>
    </row>
    <row r="1913" spans="1:59" ht="396" x14ac:dyDescent="0.45">
      <c r="A1913" s="5">
        <v>1912</v>
      </c>
      <c r="B1913" s="1" t="s">
        <v>11080</v>
      </c>
      <c r="C1913" s="6"/>
      <c r="E1913" s="1"/>
      <c r="F1913" s="1"/>
      <c r="G1913" s="1"/>
      <c r="J1913" s="1" t="s">
        <v>7559</v>
      </c>
      <c r="K1913" s="11" t="s">
        <v>11961</v>
      </c>
      <c r="P1913" s="7" t="s">
        <v>1241</v>
      </c>
      <c r="AV1913" s="1" t="s">
        <v>38</v>
      </c>
      <c r="BG1913" s="7" t="s">
        <v>1242</v>
      </c>
    </row>
    <row r="1914" spans="1:59" ht="288" x14ac:dyDescent="0.45">
      <c r="A1914" s="5">
        <v>1913</v>
      </c>
      <c r="B1914" s="1" t="s">
        <v>11081</v>
      </c>
      <c r="C1914" s="6"/>
      <c r="E1914" s="1"/>
      <c r="F1914" s="1"/>
      <c r="G1914" s="1"/>
      <c r="J1914" s="1" t="s">
        <v>7559</v>
      </c>
      <c r="K1914" s="11" t="s">
        <v>11962</v>
      </c>
      <c r="P1914" s="7" t="s">
        <v>1241</v>
      </c>
      <c r="AV1914" s="1" t="s">
        <v>38</v>
      </c>
      <c r="BG1914" s="7" t="s">
        <v>1242</v>
      </c>
    </row>
    <row r="1915" spans="1:59" ht="409.6" x14ac:dyDescent="0.45">
      <c r="A1915" s="5">
        <v>1914</v>
      </c>
      <c r="B1915" s="1" t="s">
        <v>11082</v>
      </c>
      <c r="C1915" s="6"/>
      <c r="E1915" s="1"/>
      <c r="F1915" s="1"/>
      <c r="G1915" s="1"/>
      <c r="J1915" s="1" t="s">
        <v>7559</v>
      </c>
      <c r="K1915" s="11" t="s">
        <v>11963</v>
      </c>
      <c r="P1915" s="7" t="s">
        <v>1241</v>
      </c>
      <c r="AV1915" s="1" t="s">
        <v>38</v>
      </c>
      <c r="BG1915" s="7" t="s">
        <v>1242</v>
      </c>
    </row>
    <row r="1916" spans="1:59" ht="216" x14ac:dyDescent="0.45">
      <c r="A1916" s="5">
        <v>1915</v>
      </c>
      <c r="B1916" s="1" t="s">
        <v>11083</v>
      </c>
      <c r="C1916" s="6"/>
      <c r="E1916" s="1"/>
      <c r="F1916" s="1"/>
      <c r="G1916" s="1"/>
      <c r="J1916" s="1" t="s">
        <v>7559</v>
      </c>
      <c r="K1916" s="2" t="s">
        <v>10389</v>
      </c>
      <c r="P1916" s="7" t="s">
        <v>1241</v>
      </c>
      <c r="AV1916" s="1" t="s">
        <v>38</v>
      </c>
      <c r="BG1916" s="7" t="s">
        <v>1242</v>
      </c>
    </row>
    <row r="1917" spans="1:59" ht="288" x14ac:dyDescent="0.45">
      <c r="A1917" s="5">
        <v>1916</v>
      </c>
      <c r="B1917" s="1" t="s">
        <v>11084</v>
      </c>
      <c r="C1917" s="6"/>
      <c r="E1917" s="1"/>
      <c r="F1917" s="1"/>
      <c r="G1917" s="1"/>
      <c r="J1917" s="1" t="s">
        <v>7559</v>
      </c>
      <c r="K1917" s="11" t="s">
        <v>11964</v>
      </c>
      <c r="P1917" s="7" t="s">
        <v>1241</v>
      </c>
      <c r="AV1917" s="1" t="s">
        <v>38</v>
      </c>
      <c r="BG1917" s="7" t="s">
        <v>1242</v>
      </c>
    </row>
    <row r="1918" spans="1:59" ht="216" x14ac:dyDescent="0.45">
      <c r="A1918" s="5">
        <v>1917</v>
      </c>
      <c r="B1918" s="1" t="s">
        <v>11085</v>
      </c>
      <c r="C1918" s="6"/>
      <c r="E1918" s="1"/>
      <c r="F1918" s="1"/>
      <c r="G1918" s="1"/>
      <c r="J1918" s="1" t="s">
        <v>7559</v>
      </c>
      <c r="K1918" s="11" t="s">
        <v>11965</v>
      </c>
      <c r="P1918" s="7" t="s">
        <v>1241</v>
      </c>
      <c r="AV1918" s="1" t="s">
        <v>38</v>
      </c>
      <c r="BG1918" s="7" t="s">
        <v>1242</v>
      </c>
    </row>
    <row r="1919" spans="1:59" ht="180" x14ac:dyDescent="0.45">
      <c r="A1919" s="5">
        <v>1918</v>
      </c>
      <c r="B1919" s="1" t="s">
        <v>11086</v>
      </c>
      <c r="C1919" s="6"/>
      <c r="E1919" s="1"/>
      <c r="F1919" s="1"/>
      <c r="G1919" s="1"/>
      <c r="J1919" s="1" t="s">
        <v>7559</v>
      </c>
      <c r="K1919" s="11" t="s">
        <v>11966</v>
      </c>
      <c r="P1919" s="7" t="s">
        <v>1241</v>
      </c>
      <c r="AV1919" s="1" t="s">
        <v>38</v>
      </c>
      <c r="BG1919" s="7" t="s">
        <v>1242</v>
      </c>
    </row>
    <row r="1920" spans="1:59" ht="288" x14ac:dyDescent="0.45">
      <c r="A1920" s="5">
        <v>1919</v>
      </c>
      <c r="B1920" s="1" t="s">
        <v>11087</v>
      </c>
      <c r="C1920" s="6"/>
      <c r="E1920" s="1"/>
      <c r="F1920" s="1"/>
      <c r="G1920" s="1"/>
      <c r="J1920" s="1" t="s">
        <v>7559</v>
      </c>
      <c r="K1920" s="11" t="s">
        <v>11967</v>
      </c>
      <c r="P1920" s="7" t="s">
        <v>1241</v>
      </c>
      <c r="AV1920" s="1" t="s">
        <v>38</v>
      </c>
      <c r="BG1920" s="7" t="s">
        <v>1242</v>
      </c>
    </row>
    <row r="1921" spans="1:59" ht="378" x14ac:dyDescent="0.45">
      <c r="A1921" s="5">
        <v>1920</v>
      </c>
      <c r="B1921" s="1" t="s">
        <v>11088</v>
      </c>
      <c r="C1921" s="6"/>
      <c r="E1921" s="1"/>
      <c r="F1921" s="1"/>
      <c r="G1921" s="1"/>
      <c r="J1921" s="1" t="s">
        <v>7559</v>
      </c>
      <c r="K1921" s="11" t="s">
        <v>11968</v>
      </c>
      <c r="P1921" s="7" t="s">
        <v>1241</v>
      </c>
      <c r="AV1921" s="1" t="s">
        <v>38</v>
      </c>
      <c r="BG1921" s="7" t="s">
        <v>1242</v>
      </c>
    </row>
    <row r="1922" spans="1:59" ht="126" x14ac:dyDescent="0.45">
      <c r="A1922" s="5">
        <v>1921</v>
      </c>
      <c r="B1922" s="1" t="s">
        <v>11089</v>
      </c>
      <c r="C1922" s="6"/>
      <c r="E1922" s="1"/>
      <c r="F1922" s="1"/>
      <c r="G1922" s="1"/>
      <c r="J1922" s="1" t="s">
        <v>7559</v>
      </c>
      <c r="K1922" s="2" t="s">
        <v>10390</v>
      </c>
      <c r="P1922" s="7" t="s">
        <v>1241</v>
      </c>
      <c r="AV1922" s="1" t="s">
        <v>38</v>
      </c>
      <c r="BG1922" s="7" t="s">
        <v>1242</v>
      </c>
    </row>
    <row r="1923" spans="1:59" ht="180" x14ac:dyDescent="0.45">
      <c r="A1923" s="5">
        <v>1922</v>
      </c>
      <c r="B1923" s="1" t="s">
        <v>11090</v>
      </c>
      <c r="C1923" s="6"/>
      <c r="E1923" s="1"/>
      <c r="F1923" s="1"/>
      <c r="G1923" s="1"/>
      <c r="J1923" s="1" t="s">
        <v>7559</v>
      </c>
      <c r="K1923" s="11" t="s">
        <v>11969</v>
      </c>
      <c r="P1923" s="7" t="s">
        <v>1241</v>
      </c>
      <c r="AV1923" s="1" t="s">
        <v>38</v>
      </c>
      <c r="BG1923" s="7" t="s">
        <v>1242</v>
      </c>
    </row>
    <row r="1924" spans="1:59" ht="198" x14ac:dyDescent="0.45">
      <c r="A1924" s="5">
        <v>1923</v>
      </c>
      <c r="B1924" s="1" t="s">
        <v>11091</v>
      </c>
      <c r="C1924" s="6"/>
      <c r="E1924" s="1"/>
      <c r="F1924" s="1"/>
      <c r="G1924" s="1"/>
      <c r="J1924" s="1" t="s">
        <v>7559</v>
      </c>
      <c r="K1924" s="11" t="s">
        <v>11970</v>
      </c>
      <c r="P1924" s="7" t="s">
        <v>1241</v>
      </c>
      <c r="AV1924" s="1" t="s">
        <v>38</v>
      </c>
      <c r="BG1924" s="7" t="s">
        <v>1242</v>
      </c>
    </row>
    <row r="1925" spans="1:59" ht="216" x14ac:dyDescent="0.45">
      <c r="A1925" s="5">
        <v>1924</v>
      </c>
      <c r="B1925" s="1" t="s">
        <v>11092</v>
      </c>
      <c r="C1925" s="6"/>
      <c r="E1925" s="1"/>
      <c r="F1925" s="1"/>
      <c r="G1925" s="1"/>
      <c r="J1925" s="1" t="s">
        <v>7559</v>
      </c>
      <c r="K1925" s="11" t="s">
        <v>11971</v>
      </c>
      <c r="P1925" s="7" t="s">
        <v>1241</v>
      </c>
      <c r="AV1925" s="1" t="s">
        <v>38</v>
      </c>
      <c r="BG1925" s="7" t="s">
        <v>1242</v>
      </c>
    </row>
    <row r="1926" spans="1:59" ht="270" x14ac:dyDescent="0.45">
      <c r="A1926" s="5">
        <v>1925</v>
      </c>
      <c r="B1926" s="1" t="s">
        <v>11093</v>
      </c>
      <c r="C1926" s="6"/>
      <c r="E1926" s="1"/>
      <c r="F1926" s="1"/>
      <c r="G1926" s="1"/>
      <c r="J1926" s="1" t="s">
        <v>7559</v>
      </c>
      <c r="K1926" s="11" t="s">
        <v>11972</v>
      </c>
      <c r="P1926" s="7" t="s">
        <v>1241</v>
      </c>
      <c r="AV1926" s="1" t="s">
        <v>38</v>
      </c>
      <c r="BG1926" s="7" t="s">
        <v>1242</v>
      </c>
    </row>
    <row r="1927" spans="1:59" ht="252" x14ac:dyDescent="0.45">
      <c r="A1927" s="5">
        <v>1926</v>
      </c>
      <c r="B1927" s="1" t="s">
        <v>11094</v>
      </c>
      <c r="C1927" s="6"/>
      <c r="E1927" s="1"/>
      <c r="F1927" s="1"/>
      <c r="G1927" s="1"/>
      <c r="J1927" s="1" t="s">
        <v>7559</v>
      </c>
      <c r="K1927" s="11" t="s">
        <v>11973</v>
      </c>
      <c r="P1927" s="7" t="s">
        <v>1241</v>
      </c>
      <c r="AV1927" s="1" t="s">
        <v>38</v>
      </c>
      <c r="BG1927" s="7" t="s">
        <v>1242</v>
      </c>
    </row>
    <row r="1928" spans="1:59" ht="144" x14ac:dyDescent="0.45">
      <c r="A1928" s="5">
        <v>1927</v>
      </c>
      <c r="B1928" s="1" t="s">
        <v>11095</v>
      </c>
      <c r="C1928" s="6"/>
      <c r="E1928" s="1"/>
      <c r="F1928" s="1"/>
      <c r="G1928" s="1"/>
      <c r="J1928" s="1" t="s">
        <v>7559</v>
      </c>
      <c r="K1928" s="11" t="s">
        <v>11974</v>
      </c>
      <c r="P1928" s="7" t="s">
        <v>1241</v>
      </c>
      <c r="AV1928" s="1" t="s">
        <v>38</v>
      </c>
      <c r="BG1928" s="7" t="s">
        <v>1242</v>
      </c>
    </row>
    <row r="1929" spans="1:59" ht="180" x14ac:dyDescent="0.45">
      <c r="A1929" s="5">
        <v>1928</v>
      </c>
      <c r="B1929" s="1" t="s">
        <v>11096</v>
      </c>
      <c r="C1929" s="6"/>
      <c r="E1929" s="1"/>
      <c r="F1929" s="1"/>
      <c r="G1929" s="1"/>
      <c r="J1929" s="1" t="s">
        <v>7559</v>
      </c>
      <c r="K1929" s="11" t="s">
        <v>11975</v>
      </c>
      <c r="P1929" s="7" t="s">
        <v>1241</v>
      </c>
      <c r="AV1929" s="1" t="s">
        <v>38</v>
      </c>
      <c r="BG1929" s="7" t="s">
        <v>1242</v>
      </c>
    </row>
    <row r="1930" spans="1:59" ht="198" x14ac:dyDescent="0.45">
      <c r="A1930" s="5">
        <v>1929</v>
      </c>
      <c r="B1930" s="1" t="s">
        <v>11097</v>
      </c>
      <c r="C1930" s="6"/>
      <c r="E1930" s="1"/>
      <c r="F1930" s="1"/>
      <c r="G1930" s="1"/>
      <c r="J1930" s="1" t="s">
        <v>7559</v>
      </c>
      <c r="K1930" s="11" t="s">
        <v>11976</v>
      </c>
      <c r="P1930" s="7" t="s">
        <v>1241</v>
      </c>
      <c r="AV1930" s="1" t="s">
        <v>38</v>
      </c>
      <c r="BG1930" s="7" t="s">
        <v>1242</v>
      </c>
    </row>
    <row r="1931" spans="1:59" ht="162" x14ac:dyDescent="0.45">
      <c r="A1931" s="5">
        <v>1930</v>
      </c>
      <c r="B1931" s="1" t="s">
        <v>11098</v>
      </c>
      <c r="C1931" s="6"/>
      <c r="E1931" s="1"/>
      <c r="F1931" s="1"/>
      <c r="G1931" s="1"/>
      <c r="J1931" s="1" t="s">
        <v>7559</v>
      </c>
      <c r="K1931" s="11" t="s">
        <v>11977</v>
      </c>
      <c r="P1931" s="7" t="s">
        <v>1241</v>
      </c>
      <c r="AV1931" s="1" t="s">
        <v>38</v>
      </c>
      <c r="BG1931" s="7" t="s">
        <v>1242</v>
      </c>
    </row>
    <row r="1932" spans="1:59" ht="144" x14ac:dyDescent="0.45">
      <c r="A1932" s="5">
        <v>1931</v>
      </c>
      <c r="B1932" s="1" t="s">
        <v>11099</v>
      </c>
      <c r="C1932" s="6"/>
      <c r="E1932" s="1"/>
      <c r="F1932" s="1"/>
      <c r="G1932" s="1"/>
      <c r="J1932" s="1" t="s">
        <v>7559</v>
      </c>
      <c r="K1932" s="11" t="s">
        <v>11978</v>
      </c>
      <c r="P1932" s="7" t="s">
        <v>1241</v>
      </c>
      <c r="AV1932" s="1" t="s">
        <v>38</v>
      </c>
      <c r="BG1932" s="7" t="s">
        <v>1242</v>
      </c>
    </row>
    <row r="1933" spans="1:59" ht="288" x14ac:dyDescent="0.45">
      <c r="A1933" s="5">
        <v>1932</v>
      </c>
      <c r="B1933" s="1" t="s">
        <v>11100</v>
      </c>
      <c r="C1933" s="6"/>
      <c r="E1933" s="1"/>
      <c r="F1933" s="1"/>
      <c r="G1933" s="1"/>
      <c r="J1933" s="1" t="s">
        <v>7559</v>
      </c>
      <c r="K1933" s="11" t="s">
        <v>11979</v>
      </c>
      <c r="P1933" s="7" t="s">
        <v>1241</v>
      </c>
      <c r="AV1933" s="1" t="s">
        <v>38</v>
      </c>
      <c r="BG1933" s="7" t="s">
        <v>1242</v>
      </c>
    </row>
    <row r="1934" spans="1:59" ht="144" x14ac:dyDescent="0.45">
      <c r="A1934" s="5">
        <v>1933</v>
      </c>
      <c r="B1934" s="1" t="s">
        <v>11101</v>
      </c>
      <c r="C1934" s="6"/>
      <c r="E1934" s="1"/>
      <c r="F1934" s="1"/>
      <c r="G1934" s="1"/>
      <c r="J1934" s="1" t="s">
        <v>7559</v>
      </c>
      <c r="K1934" s="2" t="s">
        <v>10391</v>
      </c>
      <c r="P1934" s="7" t="s">
        <v>1241</v>
      </c>
      <c r="AV1934" s="1" t="s">
        <v>38</v>
      </c>
      <c r="BG1934" s="7" t="s">
        <v>1242</v>
      </c>
    </row>
    <row r="1935" spans="1:59" ht="198" x14ac:dyDescent="0.45">
      <c r="A1935" s="5">
        <v>1934</v>
      </c>
      <c r="B1935" s="1" t="s">
        <v>11102</v>
      </c>
      <c r="C1935" s="6"/>
      <c r="E1935" s="1"/>
      <c r="F1935" s="1"/>
      <c r="G1935" s="1"/>
      <c r="J1935" s="1" t="s">
        <v>7559</v>
      </c>
      <c r="K1935" s="11" t="s">
        <v>11980</v>
      </c>
      <c r="P1935" s="7" t="s">
        <v>1241</v>
      </c>
      <c r="AV1935" s="1" t="s">
        <v>38</v>
      </c>
      <c r="BG1935" s="7" t="s">
        <v>1242</v>
      </c>
    </row>
    <row r="1936" spans="1:59" ht="216" x14ac:dyDescent="0.45">
      <c r="A1936" s="5">
        <v>1935</v>
      </c>
      <c r="B1936" s="1" t="s">
        <v>11103</v>
      </c>
      <c r="C1936" s="6"/>
      <c r="E1936" s="1"/>
      <c r="F1936" s="1"/>
      <c r="G1936" s="1"/>
      <c r="J1936" s="1" t="s">
        <v>7559</v>
      </c>
      <c r="K1936" s="11" t="s">
        <v>11981</v>
      </c>
      <c r="P1936" s="7" t="s">
        <v>1241</v>
      </c>
      <c r="AV1936" s="1" t="s">
        <v>38</v>
      </c>
      <c r="BG1936" s="7" t="s">
        <v>1242</v>
      </c>
    </row>
    <row r="1937" spans="1:59" ht="234" x14ac:dyDescent="0.45">
      <c r="A1937" s="5">
        <v>1936</v>
      </c>
      <c r="B1937" s="1" t="s">
        <v>11104</v>
      </c>
      <c r="C1937" s="6"/>
      <c r="E1937" s="1"/>
      <c r="F1937" s="1"/>
      <c r="G1937" s="1"/>
      <c r="J1937" s="1" t="s">
        <v>7559</v>
      </c>
      <c r="K1937" s="11" t="s">
        <v>11982</v>
      </c>
      <c r="P1937" s="7" t="s">
        <v>1241</v>
      </c>
      <c r="AV1937" s="1" t="s">
        <v>38</v>
      </c>
      <c r="BG1937" s="7" t="s">
        <v>1242</v>
      </c>
    </row>
    <row r="1938" spans="1:59" ht="234" x14ac:dyDescent="0.45">
      <c r="A1938" s="5">
        <v>1937</v>
      </c>
      <c r="B1938" s="1" t="s">
        <v>11105</v>
      </c>
      <c r="C1938" s="6"/>
      <c r="E1938" s="1"/>
      <c r="F1938" s="1"/>
      <c r="G1938" s="1"/>
      <c r="J1938" s="1" t="s">
        <v>7559</v>
      </c>
      <c r="K1938" s="11" t="s">
        <v>11983</v>
      </c>
      <c r="P1938" s="7" t="s">
        <v>1241</v>
      </c>
      <c r="AV1938" s="1" t="s">
        <v>38</v>
      </c>
      <c r="BG1938" s="7" t="s">
        <v>1242</v>
      </c>
    </row>
    <row r="1939" spans="1:59" ht="234" x14ac:dyDescent="0.45">
      <c r="A1939" s="5">
        <v>1938</v>
      </c>
      <c r="B1939" s="1" t="s">
        <v>11106</v>
      </c>
      <c r="C1939" s="6"/>
      <c r="E1939" s="1"/>
      <c r="F1939" s="1"/>
      <c r="G1939" s="1"/>
      <c r="J1939" s="1" t="s">
        <v>7559</v>
      </c>
      <c r="K1939" s="11" t="s">
        <v>11984</v>
      </c>
      <c r="P1939" s="7" t="s">
        <v>1241</v>
      </c>
      <c r="AV1939" s="1" t="s">
        <v>38</v>
      </c>
      <c r="BG1939" s="7" t="s">
        <v>1242</v>
      </c>
    </row>
    <row r="1940" spans="1:59" ht="288" x14ac:dyDescent="0.45">
      <c r="A1940" s="5">
        <v>1939</v>
      </c>
      <c r="B1940" s="1" t="s">
        <v>11107</v>
      </c>
      <c r="C1940" s="6"/>
      <c r="E1940" s="1"/>
      <c r="F1940" s="1"/>
      <c r="G1940" s="1"/>
      <c r="J1940" s="1" t="s">
        <v>7559</v>
      </c>
      <c r="K1940" s="11" t="s">
        <v>11985</v>
      </c>
      <c r="P1940" s="7" t="s">
        <v>1241</v>
      </c>
      <c r="AV1940" s="1" t="s">
        <v>38</v>
      </c>
      <c r="BG1940" s="7" t="s">
        <v>1242</v>
      </c>
    </row>
    <row r="1941" spans="1:59" ht="180" x14ac:dyDescent="0.45">
      <c r="A1941" s="5">
        <v>1940</v>
      </c>
      <c r="B1941" s="1" t="s">
        <v>11108</v>
      </c>
      <c r="C1941" s="6"/>
      <c r="E1941" s="1"/>
      <c r="F1941" s="1"/>
      <c r="G1941" s="1"/>
      <c r="J1941" s="1" t="s">
        <v>7559</v>
      </c>
      <c r="K1941" s="11" t="s">
        <v>11986</v>
      </c>
      <c r="P1941" s="7" t="s">
        <v>1241</v>
      </c>
      <c r="AV1941" s="1" t="s">
        <v>38</v>
      </c>
      <c r="BG1941" s="7" t="s">
        <v>1242</v>
      </c>
    </row>
    <row r="1942" spans="1:59" ht="324" x14ac:dyDescent="0.45">
      <c r="A1942" s="5">
        <v>1941</v>
      </c>
      <c r="B1942" s="1" t="s">
        <v>11109</v>
      </c>
      <c r="C1942" s="6"/>
      <c r="E1942" s="1"/>
      <c r="F1942" s="1"/>
      <c r="G1942" s="1"/>
      <c r="J1942" s="1" t="s">
        <v>7559</v>
      </c>
      <c r="K1942" s="11" t="s">
        <v>11987</v>
      </c>
      <c r="P1942" s="7" t="s">
        <v>1241</v>
      </c>
      <c r="AV1942" s="1" t="s">
        <v>38</v>
      </c>
      <c r="BG1942" s="7" t="s">
        <v>1242</v>
      </c>
    </row>
    <row r="1943" spans="1:59" ht="216" x14ac:dyDescent="0.45">
      <c r="A1943" s="5">
        <v>1942</v>
      </c>
      <c r="B1943" s="1" t="s">
        <v>11726</v>
      </c>
      <c r="C1943" s="6"/>
      <c r="E1943" s="1"/>
      <c r="F1943" s="1"/>
      <c r="G1943" s="1"/>
      <c r="J1943" s="1" t="s">
        <v>7559</v>
      </c>
      <c r="K1943" s="11" t="s">
        <v>11988</v>
      </c>
      <c r="P1943" s="7" t="s">
        <v>1241</v>
      </c>
      <c r="AV1943" s="1" t="s">
        <v>38</v>
      </c>
      <c r="BG1943" s="7" t="s">
        <v>1242</v>
      </c>
    </row>
    <row r="1944" spans="1:59" ht="216" x14ac:dyDescent="0.45">
      <c r="A1944" s="5">
        <v>1943</v>
      </c>
      <c r="B1944" s="1" t="s">
        <v>11110</v>
      </c>
      <c r="C1944" s="6"/>
      <c r="E1944" s="1"/>
      <c r="F1944" s="1"/>
      <c r="G1944" s="1"/>
      <c r="J1944" s="1" t="s">
        <v>7559</v>
      </c>
      <c r="K1944" s="2" t="s">
        <v>10392</v>
      </c>
      <c r="P1944" s="7" t="s">
        <v>1241</v>
      </c>
      <c r="AV1944" s="1" t="s">
        <v>38</v>
      </c>
      <c r="BG1944" s="7" t="s">
        <v>1242</v>
      </c>
    </row>
    <row r="1945" spans="1:59" ht="252" x14ac:dyDescent="0.45">
      <c r="A1945" s="5">
        <v>1944</v>
      </c>
      <c r="B1945" s="1" t="s">
        <v>11111</v>
      </c>
      <c r="C1945" s="6"/>
      <c r="E1945" s="1"/>
      <c r="F1945" s="1"/>
      <c r="G1945" s="1"/>
      <c r="J1945" s="1" t="s">
        <v>7559</v>
      </c>
      <c r="K1945" s="11" t="s">
        <v>11989</v>
      </c>
      <c r="P1945" s="7" t="s">
        <v>1241</v>
      </c>
      <c r="AV1945" s="1" t="s">
        <v>38</v>
      </c>
      <c r="BG1945" s="7" t="s">
        <v>1242</v>
      </c>
    </row>
    <row r="1946" spans="1:59" ht="162" x14ac:dyDescent="0.45">
      <c r="A1946" s="5">
        <v>1945</v>
      </c>
      <c r="B1946" s="1" t="s">
        <v>11112</v>
      </c>
      <c r="C1946" s="6"/>
      <c r="E1946" s="1"/>
      <c r="F1946" s="1"/>
      <c r="G1946" s="1"/>
      <c r="J1946" s="1" t="s">
        <v>7559</v>
      </c>
      <c r="K1946" s="11" t="s">
        <v>11990</v>
      </c>
      <c r="P1946" s="7" t="s">
        <v>1241</v>
      </c>
      <c r="AV1946" s="1" t="s">
        <v>38</v>
      </c>
      <c r="BG1946" s="7" t="s">
        <v>1242</v>
      </c>
    </row>
    <row r="1947" spans="1:59" ht="126" x14ac:dyDescent="0.45">
      <c r="A1947" s="5">
        <v>1946</v>
      </c>
      <c r="B1947" s="1" t="s">
        <v>11113</v>
      </c>
      <c r="C1947" s="6"/>
      <c r="E1947" s="1"/>
      <c r="F1947" s="1"/>
      <c r="G1947" s="1"/>
      <c r="J1947" s="1" t="s">
        <v>7559</v>
      </c>
      <c r="K1947" s="2" t="s">
        <v>10393</v>
      </c>
      <c r="P1947" s="7" t="s">
        <v>1241</v>
      </c>
      <c r="AV1947" s="1" t="s">
        <v>38</v>
      </c>
      <c r="BG1947" s="7" t="s">
        <v>1242</v>
      </c>
    </row>
    <row r="1948" spans="1:59" ht="252" x14ac:dyDescent="0.45">
      <c r="A1948" s="5">
        <v>1947</v>
      </c>
      <c r="B1948" s="1" t="s">
        <v>11114</v>
      </c>
      <c r="C1948" s="6"/>
      <c r="E1948" s="1"/>
      <c r="F1948" s="1"/>
      <c r="G1948" s="1"/>
      <c r="J1948" s="1" t="s">
        <v>7559</v>
      </c>
      <c r="K1948" s="2" t="s">
        <v>11770</v>
      </c>
      <c r="P1948" s="7" t="s">
        <v>1241</v>
      </c>
      <c r="AV1948" s="1" t="s">
        <v>38</v>
      </c>
      <c r="BG1948" s="7" t="s">
        <v>1242</v>
      </c>
    </row>
    <row r="1949" spans="1:59" ht="252" x14ac:dyDescent="0.45">
      <c r="A1949" s="5">
        <v>1948</v>
      </c>
      <c r="B1949" s="1" t="s">
        <v>11115</v>
      </c>
      <c r="C1949" s="6"/>
      <c r="E1949" s="1"/>
      <c r="F1949" s="1"/>
      <c r="G1949" s="1"/>
      <c r="J1949" s="1" t="s">
        <v>7559</v>
      </c>
      <c r="K1949" s="11" t="s">
        <v>11991</v>
      </c>
      <c r="P1949" s="7" t="s">
        <v>1241</v>
      </c>
      <c r="AV1949" s="1" t="s">
        <v>38</v>
      </c>
      <c r="BG1949" s="7" t="s">
        <v>1242</v>
      </c>
    </row>
    <row r="1950" spans="1:59" ht="180" x14ac:dyDescent="0.45">
      <c r="A1950" s="5">
        <v>1949</v>
      </c>
      <c r="B1950" s="1" t="s">
        <v>11116</v>
      </c>
      <c r="C1950" s="6"/>
      <c r="E1950" s="1"/>
      <c r="F1950" s="1"/>
      <c r="G1950" s="1"/>
      <c r="J1950" s="1" t="s">
        <v>7559</v>
      </c>
      <c r="K1950" s="11" t="s">
        <v>11992</v>
      </c>
      <c r="P1950" s="7" t="s">
        <v>1241</v>
      </c>
      <c r="AV1950" s="1" t="s">
        <v>38</v>
      </c>
      <c r="BG1950" s="7" t="s">
        <v>1242</v>
      </c>
    </row>
    <row r="1951" spans="1:59" ht="144" x14ac:dyDescent="0.45">
      <c r="A1951" s="5">
        <v>1950</v>
      </c>
      <c r="B1951" s="1" t="s">
        <v>11117</v>
      </c>
      <c r="C1951" s="6"/>
      <c r="E1951" s="1"/>
      <c r="F1951" s="1"/>
      <c r="G1951" s="1"/>
      <c r="J1951" s="1" t="s">
        <v>7559</v>
      </c>
      <c r="K1951" s="2" t="s">
        <v>10394</v>
      </c>
      <c r="P1951" s="7" t="s">
        <v>1241</v>
      </c>
      <c r="AV1951" s="1" t="s">
        <v>38</v>
      </c>
      <c r="BG1951" s="7" t="s">
        <v>1242</v>
      </c>
    </row>
    <row r="1952" spans="1:59" ht="198" x14ac:dyDescent="0.45">
      <c r="A1952" s="5">
        <v>1951</v>
      </c>
      <c r="B1952" s="1" t="s">
        <v>11118</v>
      </c>
      <c r="C1952" s="6"/>
      <c r="E1952" s="1"/>
      <c r="F1952" s="1"/>
      <c r="G1952" s="1"/>
      <c r="J1952" s="1" t="s">
        <v>7559</v>
      </c>
      <c r="K1952" s="2" t="s">
        <v>10395</v>
      </c>
      <c r="P1952" s="7" t="s">
        <v>1241</v>
      </c>
      <c r="AV1952" s="1" t="s">
        <v>38</v>
      </c>
      <c r="BG1952" s="7" t="s">
        <v>1242</v>
      </c>
    </row>
    <row r="1953" spans="1:59" ht="409.6" x14ac:dyDescent="0.45">
      <c r="A1953" s="5">
        <v>1952</v>
      </c>
      <c r="B1953" s="1" t="s">
        <v>11119</v>
      </c>
      <c r="C1953" s="6"/>
      <c r="E1953" s="1"/>
      <c r="F1953" s="1"/>
      <c r="G1953" s="1"/>
      <c r="J1953" s="1" t="s">
        <v>7559</v>
      </c>
      <c r="K1953" s="2" t="s">
        <v>10396</v>
      </c>
      <c r="P1953" s="7" t="s">
        <v>1241</v>
      </c>
      <c r="AV1953" s="1" t="s">
        <v>38</v>
      </c>
      <c r="BG1953" s="7" t="s">
        <v>1242</v>
      </c>
    </row>
    <row r="1954" spans="1:59" ht="216" x14ac:dyDescent="0.45">
      <c r="A1954" s="5">
        <v>1953</v>
      </c>
      <c r="B1954" s="1" t="s">
        <v>11120</v>
      </c>
      <c r="C1954" s="6"/>
      <c r="E1954" s="1"/>
      <c r="F1954" s="1"/>
      <c r="G1954" s="1"/>
      <c r="J1954" s="1" t="s">
        <v>7559</v>
      </c>
      <c r="K1954" s="2" t="s">
        <v>10397</v>
      </c>
      <c r="P1954" s="7" t="s">
        <v>1241</v>
      </c>
      <c r="AV1954" s="1" t="s">
        <v>38</v>
      </c>
      <c r="BG1954" s="7" t="s">
        <v>1242</v>
      </c>
    </row>
    <row r="1955" spans="1:59" ht="198" x14ac:dyDescent="0.45">
      <c r="A1955" s="5">
        <v>1954</v>
      </c>
      <c r="B1955" s="1" t="s">
        <v>11121</v>
      </c>
      <c r="C1955" s="6"/>
      <c r="E1955" s="1"/>
      <c r="F1955" s="1"/>
      <c r="G1955" s="1"/>
      <c r="J1955" s="1" t="s">
        <v>7559</v>
      </c>
      <c r="K1955" s="11" t="s">
        <v>11993</v>
      </c>
      <c r="P1955" s="7" t="s">
        <v>1241</v>
      </c>
      <c r="AV1955" s="1" t="s">
        <v>38</v>
      </c>
      <c r="BG1955" s="7" t="s">
        <v>1242</v>
      </c>
    </row>
    <row r="1956" spans="1:59" ht="216" x14ac:dyDescent="0.45">
      <c r="A1956" s="5">
        <v>1955</v>
      </c>
      <c r="B1956" s="1" t="s">
        <v>11122</v>
      </c>
      <c r="C1956" s="6"/>
      <c r="E1956" s="1"/>
      <c r="F1956" s="1"/>
      <c r="G1956" s="1"/>
      <c r="J1956" s="1" t="s">
        <v>7559</v>
      </c>
      <c r="K1956" s="2" t="s">
        <v>10398</v>
      </c>
      <c r="P1956" s="7" t="s">
        <v>1241</v>
      </c>
      <c r="AV1956" s="1" t="s">
        <v>38</v>
      </c>
      <c r="BG1956" s="7" t="s">
        <v>1242</v>
      </c>
    </row>
    <row r="1957" spans="1:59" ht="324" x14ac:dyDescent="0.45">
      <c r="A1957" s="5">
        <v>1956</v>
      </c>
      <c r="B1957" s="1" t="s">
        <v>11123</v>
      </c>
      <c r="C1957" s="6"/>
      <c r="E1957" s="1"/>
      <c r="F1957" s="1"/>
      <c r="G1957" s="1"/>
      <c r="J1957" s="1" t="s">
        <v>7559</v>
      </c>
      <c r="K1957" s="11" t="s">
        <v>11994</v>
      </c>
      <c r="P1957" s="7" t="s">
        <v>1241</v>
      </c>
      <c r="AV1957" s="1" t="s">
        <v>38</v>
      </c>
      <c r="BG1957" s="7" t="s">
        <v>1242</v>
      </c>
    </row>
    <row r="1958" spans="1:59" ht="270" x14ac:dyDescent="0.45">
      <c r="A1958" s="5">
        <v>1957</v>
      </c>
      <c r="B1958" s="1" t="s">
        <v>11124</v>
      </c>
      <c r="C1958" s="6"/>
      <c r="E1958" s="1"/>
      <c r="F1958" s="1"/>
      <c r="G1958" s="1"/>
      <c r="J1958" s="1" t="s">
        <v>7559</v>
      </c>
      <c r="K1958" s="11" t="s">
        <v>11995</v>
      </c>
      <c r="P1958" s="7" t="s">
        <v>1241</v>
      </c>
      <c r="AV1958" s="1" t="s">
        <v>38</v>
      </c>
      <c r="BG1958" s="7" t="s">
        <v>1242</v>
      </c>
    </row>
    <row r="1959" spans="1:59" ht="234" x14ac:dyDescent="0.45">
      <c r="A1959" s="5">
        <v>1958</v>
      </c>
      <c r="B1959" s="1" t="s">
        <v>11125</v>
      </c>
      <c r="C1959" s="6"/>
      <c r="E1959" s="1"/>
      <c r="F1959" s="1"/>
      <c r="G1959" s="1"/>
      <c r="J1959" s="1" t="s">
        <v>7559</v>
      </c>
      <c r="K1959" s="2" t="s">
        <v>10399</v>
      </c>
      <c r="P1959" s="7" t="s">
        <v>1241</v>
      </c>
      <c r="AV1959" s="1" t="s">
        <v>38</v>
      </c>
      <c r="BG1959" s="7" t="s">
        <v>1242</v>
      </c>
    </row>
    <row r="1960" spans="1:59" ht="234" x14ac:dyDescent="0.45">
      <c r="A1960" s="5">
        <v>1959</v>
      </c>
      <c r="B1960" s="1" t="s">
        <v>11126</v>
      </c>
      <c r="C1960" s="6"/>
      <c r="E1960" s="1"/>
      <c r="F1960" s="1"/>
      <c r="G1960" s="1"/>
      <c r="J1960" s="1" t="s">
        <v>7559</v>
      </c>
      <c r="K1960" s="2" t="s">
        <v>10400</v>
      </c>
      <c r="P1960" s="7" t="s">
        <v>1241</v>
      </c>
      <c r="AV1960" s="1" t="s">
        <v>38</v>
      </c>
      <c r="BG1960" s="7" t="s">
        <v>1242</v>
      </c>
    </row>
    <row r="1961" spans="1:59" ht="252" x14ac:dyDescent="0.45">
      <c r="A1961" s="5">
        <v>1960</v>
      </c>
      <c r="B1961" s="1" t="s">
        <v>11127</v>
      </c>
      <c r="C1961" s="6"/>
      <c r="E1961" s="1"/>
      <c r="F1961" s="1"/>
      <c r="G1961" s="1"/>
      <c r="J1961" s="1" t="s">
        <v>7559</v>
      </c>
      <c r="K1961" s="11" t="s">
        <v>11996</v>
      </c>
      <c r="P1961" s="7" t="s">
        <v>1241</v>
      </c>
      <c r="AV1961" s="1" t="s">
        <v>38</v>
      </c>
      <c r="BG1961" s="7" t="s">
        <v>1242</v>
      </c>
    </row>
    <row r="1962" spans="1:59" ht="126" x14ac:dyDescent="0.45">
      <c r="A1962" s="5">
        <v>1961</v>
      </c>
      <c r="B1962" s="1" t="s">
        <v>11128</v>
      </c>
      <c r="C1962" s="6"/>
      <c r="E1962" s="1"/>
      <c r="F1962" s="1"/>
      <c r="G1962" s="1"/>
      <c r="J1962" s="1" t="s">
        <v>7559</v>
      </c>
      <c r="K1962" s="2" t="s">
        <v>10401</v>
      </c>
      <c r="P1962" s="7" t="s">
        <v>1241</v>
      </c>
      <c r="AV1962" s="1" t="s">
        <v>38</v>
      </c>
      <c r="BG1962" s="7" t="s">
        <v>1242</v>
      </c>
    </row>
    <row r="1963" spans="1:59" ht="270" x14ac:dyDescent="0.45">
      <c r="A1963" s="5">
        <v>1962</v>
      </c>
      <c r="B1963" s="1" t="s">
        <v>11129</v>
      </c>
      <c r="C1963" s="6"/>
      <c r="E1963" s="1"/>
      <c r="F1963" s="1"/>
      <c r="G1963" s="1"/>
      <c r="J1963" s="1" t="s">
        <v>7559</v>
      </c>
      <c r="K1963" s="11" t="s">
        <v>11997</v>
      </c>
      <c r="P1963" s="7" t="s">
        <v>1241</v>
      </c>
      <c r="AV1963" s="1" t="s">
        <v>38</v>
      </c>
      <c r="BG1963" s="7" t="s">
        <v>1242</v>
      </c>
    </row>
    <row r="1964" spans="1:59" ht="144" x14ac:dyDescent="0.45">
      <c r="A1964" s="5">
        <v>1963</v>
      </c>
      <c r="B1964" s="1" t="s">
        <v>11130</v>
      </c>
      <c r="C1964" s="6"/>
      <c r="E1964" s="1"/>
      <c r="F1964" s="1"/>
      <c r="G1964" s="1"/>
      <c r="J1964" s="1" t="s">
        <v>7559</v>
      </c>
      <c r="K1964" s="11" t="s">
        <v>11998</v>
      </c>
      <c r="P1964" s="7" t="s">
        <v>1241</v>
      </c>
      <c r="AV1964" s="1" t="s">
        <v>38</v>
      </c>
      <c r="BG1964" s="7" t="s">
        <v>1242</v>
      </c>
    </row>
    <row r="1965" spans="1:59" ht="234" x14ac:dyDescent="0.45">
      <c r="A1965" s="5">
        <v>1964</v>
      </c>
      <c r="B1965" s="1" t="s">
        <v>11131</v>
      </c>
      <c r="C1965" s="6"/>
      <c r="E1965" s="1"/>
      <c r="F1965" s="1"/>
      <c r="G1965" s="1"/>
      <c r="J1965" s="1" t="s">
        <v>7559</v>
      </c>
      <c r="K1965" s="11" t="s">
        <v>11999</v>
      </c>
      <c r="P1965" s="7" t="s">
        <v>1241</v>
      </c>
      <c r="AV1965" s="1" t="s">
        <v>38</v>
      </c>
      <c r="BG1965" s="7" t="s">
        <v>1242</v>
      </c>
    </row>
    <row r="1966" spans="1:59" ht="144" x14ac:dyDescent="0.45">
      <c r="A1966" s="5">
        <v>1965</v>
      </c>
      <c r="B1966" s="1" t="s">
        <v>11132</v>
      </c>
      <c r="C1966" s="6"/>
      <c r="E1966" s="1"/>
      <c r="F1966" s="1"/>
      <c r="G1966" s="1"/>
      <c r="J1966" s="1" t="s">
        <v>7559</v>
      </c>
      <c r="K1966" s="11" t="s">
        <v>12000</v>
      </c>
      <c r="P1966" s="7" t="s">
        <v>1241</v>
      </c>
      <c r="AV1966" s="1" t="s">
        <v>38</v>
      </c>
      <c r="BG1966" s="7" t="s">
        <v>1242</v>
      </c>
    </row>
    <row r="1967" spans="1:59" ht="162" x14ac:dyDescent="0.45">
      <c r="A1967" s="5">
        <v>1966</v>
      </c>
      <c r="B1967" s="1" t="s">
        <v>11133</v>
      </c>
      <c r="C1967" s="6"/>
      <c r="E1967" s="1"/>
      <c r="F1967" s="1"/>
      <c r="G1967" s="1"/>
      <c r="J1967" s="1" t="s">
        <v>7559</v>
      </c>
      <c r="K1967" s="2" t="s">
        <v>10404</v>
      </c>
      <c r="P1967" s="7" t="s">
        <v>1241</v>
      </c>
      <c r="AV1967" s="1" t="s">
        <v>38</v>
      </c>
      <c r="BG1967" s="7" t="s">
        <v>1242</v>
      </c>
    </row>
    <row r="1968" spans="1:59" ht="360" x14ac:dyDescent="0.45">
      <c r="A1968" s="5">
        <v>1967</v>
      </c>
      <c r="B1968" s="1" t="s">
        <v>11134</v>
      </c>
      <c r="C1968" s="6"/>
      <c r="E1968" s="1"/>
      <c r="F1968" s="1"/>
      <c r="G1968" s="1"/>
      <c r="J1968" s="1" t="s">
        <v>7559</v>
      </c>
      <c r="K1968" s="11" t="s">
        <v>12001</v>
      </c>
      <c r="P1968" s="7" t="s">
        <v>1241</v>
      </c>
      <c r="AV1968" s="1" t="s">
        <v>38</v>
      </c>
      <c r="BG1968" s="7" t="s">
        <v>1242</v>
      </c>
    </row>
    <row r="1969" spans="1:59" ht="360" x14ac:dyDescent="0.45">
      <c r="A1969" s="5">
        <v>1968</v>
      </c>
      <c r="B1969" s="1" t="s">
        <v>11135</v>
      </c>
      <c r="C1969" s="6"/>
      <c r="E1969" s="1"/>
      <c r="F1969" s="1"/>
      <c r="G1969" s="1"/>
      <c r="J1969" s="1" t="s">
        <v>7559</v>
      </c>
      <c r="K1969" s="11" t="s">
        <v>12002</v>
      </c>
      <c r="P1969" s="7" t="s">
        <v>1241</v>
      </c>
      <c r="AV1969" s="1" t="s">
        <v>38</v>
      </c>
      <c r="BG1969" s="7" t="s">
        <v>1242</v>
      </c>
    </row>
    <row r="1970" spans="1:59" ht="180" x14ac:dyDescent="0.45">
      <c r="A1970" s="5">
        <v>1969</v>
      </c>
      <c r="B1970" s="1" t="s">
        <v>11136</v>
      </c>
      <c r="C1970" s="6"/>
      <c r="E1970" s="1"/>
      <c r="F1970" s="1"/>
      <c r="G1970" s="1"/>
      <c r="J1970" s="1" t="s">
        <v>7559</v>
      </c>
      <c r="K1970" s="2" t="s">
        <v>10405</v>
      </c>
      <c r="P1970" s="7" t="s">
        <v>1241</v>
      </c>
      <c r="AV1970" s="1" t="s">
        <v>38</v>
      </c>
      <c r="BG1970" s="7" t="s">
        <v>1242</v>
      </c>
    </row>
    <row r="1971" spans="1:59" ht="409.6" x14ac:dyDescent="0.45">
      <c r="A1971" s="5">
        <v>1970</v>
      </c>
      <c r="B1971" s="1" t="s">
        <v>11137</v>
      </c>
      <c r="C1971" s="6"/>
      <c r="E1971" s="1"/>
      <c r="F1971" s="1"/>
      <c r="G1971" s="1"/>
      <c r="J1971" s="1" t="s">
        <v>7559</v>
      </c>
      <c r="K1971" s="2" t="s">
        <v>11771</v>
      </c>
      <c r="P1971" s="7" t="s">
        <v>1241</v>
      </c>
      <c r="AV1971" s="1" t="s">
        <v>38</v>
      </c>
      <c r="BG1971" s="7" t="s">
        <v>1242</v>
      </c>
    </row>
    <row r="1972" spans="1:59" ht="396" x14ac:dyDescent="0.45">
      <c r="A1972" s="5">
        <v>1971</v>
      </c>
      <c r="B1972" s="1" t="s">
        <v>11138</v>
      </c>
      <c r="C1972" s="6"/>
      <c r="E1972" s="1"/>
      <c r="F1972" s="1"/>
      <c r="G1972" s="1"/>
      <c r="J1972" s="1" t="s">
        <v>7559</v>
      </c>
      <c r="K1972" s="11" t="s">
        <v>12003</v>
      </c>
      <c r="P1972" s="7" t="s">
        <v>1241</v>
      </c>
      <c r="AV1972" s="1" t="s">
        <v>38</v>
      </c>
      <c r="BG1972" s="7" t="s">
        <v>1242</v>
      </c>
    </row>
    <row r="1973" spans="1:59" ht="234" x14ac:dyDescent="0.45">
      <c r="A1973" s="5">
        <v>1972</v>
      </c>
      <c r="B1973" s="1" t="s">
        <v>11139</v>
      </c>
      <c r="C1973" s="6"/>
      <c r="E1973" s="1"/>
      <c r="F1973" s="1"/>
      <c r="G1973" s="1"/>
      <c r="J1973" s="1" t="s">
        <v>7559</v>
      </c>
      <c r="K1973" s="11" t="s">
        <v>12004</v>
      </c>
      <c r="P1973" s="7" t="s">
        <v>1241</v>
      </c>
      <c r="AV1973" s="1" t="s">
        <v>38</v>
      </c>
      <c r="BG1973" s="7" t="s">
        <v>1242</v>
      </c>
    </row>
    <row r="1974" spans="1:59" ht="216" x14ac:dyDescent="0.45">
      <c r="A1974" s="5">
        <v>1973</v>
      </c>
      <c r="B1974" s="1" t="s">
        <v>11140</v>
      </c>
      <c r="C1974" s="6"/>
      <c r="E1974" s="1"/>
      <c r="F1974" s="1"/>
      <c r="G1974" s="1"/>
      <c r="J1974" s="1" t="s">
        <v>7559</v>
      </c>
      <c r="K1974" s="11" t="s">
        <v>12005</v>
      </c>
      <c r="P1974" s="7" t="s">
        <v>1241</v>
      </c>
      <c r="AV1974" s="1" t="s">
        <v>38</v>
      </c>
      <c r="BG1974" s="7" t="s">
        <v>1242</v>
      </c>
    </row>
    <row r="1975" spans="1:59" ht="198" x14ac:dyDescent="0.45">
      <c r="A1975" s="5">
        <v>1974</v>
      </c>
      <c r="B1975" s="1" t="s">
        <v>11141</v>
      </c>
      <c r="C1975" s="6"/>
      <c r="E1975" s="1"/>
      <c r="F1975" s="1"/>
      <c r="G1975" s="1"/>
      <c r="J1975" s="1" t="s">
        <v>7559</v>
      </c>
      <c r="K1975" s="11" t="s">
        <v>12006</v>
      </c>
      <c r="P1975" s="7" t="s">
        <v>1241</v>
      </c>
      <c r="AV1975" s="1" t="s">
        <v>38</v>
      </c>
      <c r="BG1975" s="7" t="s">
        <v>1242</v>
      </c>
    </row>
    <row r="1976" spans="1:59" ht="198" x14ac:dyDescent="0.45">
      <c r="A1976" s="5">
        <v>1975</v>
      </c>
      <c r="B1976" s="1" t="s">
        <v>11142</v>
      </c>
      <c r="C1976" s="6"/>
      <c r="E1976" s="1"/>
      <c r="F1976" s="1"/>
      <c r="G1976" s="1"/>
      <c r="J1976" s="1" t="s">
        <v>7559</v>
      </c>
      <c r="K1976" s="11" t="s">
        <v>12007</v>
      </c>
      <c r="P1976" s="7" t="s">
        <v>1241</v>
      </c>
      <c r="AV1976" s="1" t="s">
        <v>38</v>
      </c>
      <c r="BG1976" s="7" t="s">
        <v>1242</v>
      </c>
    </row>
    <row r="1977" spans="1:59" ht="216" x14ac:dyDescent="0.45">
      <c r="A1977" s="5">
        <v>1976</v>
      </c>
      <c r="B1977" s="1" t="s">
        <v>11143</v>
      </c>
      <c r="C1977" s="6"/>
      <c r="E1977" s="1"/>
      <c r="F1977" s="1"/>
      <c r="G1977" s="1"/>
      <c r="J1977" s="1" t="s">
        <v>7559</v>
      </c>
      <c r="K1977" s="11" t="s">
        <v>12008</v>
      </c>
      <c r="P1977" s="7" t="s">
        <v>1241</v>
      </c>
      <c r="AV1977" s="1" t="s">
        <v>38</v>
      </c>
      <c r="BG1977" s="7" t="s">
        <v>1242</v>
      </c>
    </row>
    <row r="1978" spans="1:59" ht="198" x14ac:dyDescent="0.45">
      <c r="A1978" s="5">
        <v>1977</v>
      </c>
      <c r="B1978" s="1" t="s">
        <v>11144</v>
      </c>
      <c r="C1978" s="6"/>
      <c r="E1978" s="1"/>
      <c r="F1978" s="1"/>
      <c r="G1978" s="1"/>
      <c r="J1978" s="1" t="s">
        <v>7559</v>
      </c>
      <c r="K1978" s="11" t="s">
        <v>12009</v>
      </c>
      <c r="P1978" s="7" t="s">
        <v>1241</v>
      </c>
      <c r="AV1978" s="1" t="s">
        <v>38</v>
      </c>
      <c r="BG1978" s="7" t="s">
        <v>1242</v>
      </c>
    </row>
    <row r="1979" spans="1:59" ht="216" x14ac:dyDescent="0.45">
      <c r="A1979" s="5">
        <v>1978</v>
      </c>
      <c r="B1979" s="1" t="s">
        <v>11145</v>
      </c>
      <c r="C1979" s="6"/>
      <c r="E1979" s="1"/>
      <c r="F1979" s="1"/>
      <c r="G1979" s="1"/>
      <c r="J1979" s="1" t="s">
        <v>7559</v>
      </c>
      <c r="K1979" s="11" t="s">
        <v>12010</v>
      </c>
      <c r="P1979" s="7" t="s">
        <v>1241</v>
      </c>
      <c r="AV1979" s="1" t="s">
        <v>38</v>
      </c>
      <c r="BG1979" s="7" t="s">
        <v>1242</v>
      </c>
    </row>
    <row r="1980" spans="1:59" ht="288" x14ac:dyDescent="0.45">
      <c r="A1980" s="5">
        <v>1979</v>
      </c>
      <c r="B1980" s="1" t="s">
        <v>11146</v>
      </c>
      <c r="C1980" s="6"/>
      <c r="E1980" s="1"/>
      <c r="F1980" s="1"/>
      <c r="G1980" s="1"/>
      <c r="J1980" s="1" t="s">
        <v>7559</v>
      </c>
      <c r="K1980" s="11" t="s">
        <v>12011</v>
      </c>
      <c r="P1980" s="7" t="s">
        <v>1241</v>
      </c>
      <c r="AV1980" s="1" t="s">
        <v>38</v>
      </c>
      <c r="BG1980" s="7" t="s">
        <v>1242</v>
      </c>
    </row>
    <row r="1981" spans="1:59" ht="198" x14ac:dyDescent="0.45">
      <c r="A1981" s="5">
        <v>1980</v>
      </c>
      <c r="B1981" s="1" t="s">
        <v>11147</v>
      </c>
      <c r="C1981" s="6"/>
      <c r="E1981" s="1"/>
      <c r="F1981" s="1"/>
      <c r="G1981" s="1"/>
      <c r="J1981" s="1" t="s">
        <v>7559</v>
      </c>
      <c r="K1981" s="2" t="s">
        <v>10406</v>
      </c>
      <c r="P1981" s="7" t="s">
        <v>1241</v>
      </c>
      <c r="AV1981" s="1" t="s">
        <v>38</v>
      </c>
      <c r="BG1981" s="7" t="s">
        <v>1242</v>
      </c>
    </row>
    <row r="1982" spans="1:59" ht="180" x14ac:dyDescent="0.45">
      <c r="A1982" s="5">
        <v>1981</v>
      </c>
      <c r="B1982" s="1" t="s">
        <v>11148</v>
      </c>
      <c r="C1982" s="6"/>
      <c r="E1982" s="1"/>
      <c r="F1982" s="1"/>
      <c r="G1982" s="1"/>
      <c r="J1982" s="1" t="s">
        <v>7559</v>
      </c>
      <c r="K1982" s="11" t="s">
        <v>12012</v>
      </c>
      <c r="P1982" s="7" t="s">
        <v>1241</v>
      </c>
      <c r="AV1982" s="1" t="s">
        <v>38</v>
      </c>
      <c r="BG1982" s="7" t="s">
        <v>1242</v>
      </c>
    </row>
    <row r="1983" spans="1:59" ht="108" x14ac:dyDescent="0.45">
      <c r="A1983" s="5">
        <v>1982</v>
      </c>
      <c r="B1983" s="1" t="s">
        <v>11149</v>
      </c>
      <c r="C1983" s="6"/>
      <c r="E1983" s="1"/>
      <c r="F1983" s="1"/>
      <c r="G1983" s="1"/>
      <c r="J1983" s="1" t="s">
        <v>7559</v>
      </c>
      <c r="K1983" s="2" t="s">
        <v>10407</v>
      </c>
      <c r="P1983" s="7" t="s">
        <v>1241</v>
      </c>
      <c r="AV1983" s="1" t="s">
        <v>38</v>
      </c>
      <c r="BG1983" s="7" t="s">
        <v>1242</v>
      </c>
    </row>
    <row r="1984" spans="1:59" ht="162" x14ac:dyDescent="0.45">
      <c r="A1984" s="5">
        <v>1983</v>
      </c>
      <c r="B1984" s="1" t="s">
        <v>11150</v>
      </c>
      <c r="C1984" s="6"/>
      <c r="E1984" s="1"/>
      <c r="F1984" s="1"/>
      <c r="G1984" s="1"/>
      <c r="J1984" s="1" t="s">
        <v>7559</v>
      </c>
      <c r="K1984" s="11" t="s">
        <v>12013</v>
      </c>
      <c r="P1984" s="7" t="s">
        <v>1241</v>
      </c>
      <c r="AV1984" s="1" t="s">
        <v>38</v>
      </c>
      <c r="BG1984" s="7" t="s">
        <v>1242</v>
      </c>
    </row>
    <row r="1985" spans="1:59" ht="144" x14ac:dyDescent="0.45">
      <c r="A1985" s="5">
        <v>1984</v>
      </c>
      <c r="B1985" s="1" t="s">
        <v>11151</v>
      </c>
      <c r="C1985" s="6"/>
      <c r="E1985" s="1"/>
      <c r="F1985" s="1"/>
      <c r="G1985" s="1"/>
      <c r="J1985" s="1" t="s">
        <v>7559</v>
      </c>
      <c r="K1985" s="11" t="s">
        <v>12014</v>
      </c>
      <c r="P1985" s="7" t="s">
        <v>1241</v>
      </c>
      <c r="AV1985" s="1" t="s">
        <v>38</v>
      </c>
      <c r="BG1985" s="7" t="s">
        <v>1242</v>
      </c>
    </row>
    <row r="1986" spans="1:59" ht="270" x14ac:dyDescent="0.45">
      <c r="A1986" s="5">
        <v>1985</v>
      </c>
      <c r="B1986" s="1" t="s">
        <v>11152</v>
      </c>
      <c r="C1986" s="6"/>
      <c r="E1986" s="1"/>
      <c r="F1986" s="1"/>
      <c r="G1986" s="1"/>
      <c r="J1986" s="1" t="s">
        <v>7559</v>
      </c>
      <c r="K1986" s="2" t="s">
        <v>11727</v>
      </c>
      <c r="P1986" s="7" t="s">
        <v>1241</v>
      </c>
      <c r="AV1986" s="1" t="s">
        <v>38</v>
      </c>
      <c r="BG1986" s="7" t="s">
        <v>1242</v>
      </c>
    </row>
    <row r="1987" spans="1:59" ht="234" x14ac:dyDescent="0.45">
      <c r="A1987" s="5">
        <v>1986</v>
      </c>
      <c r="B1987" s="1" t="s">
        <v>11153</v>
      </c>
      <c r="C1987" s="6"/>
      <c r="E1987" s="1"/>
      <c r="F1987" s="1"/>
      <c r="G1987" s="1"/>
      <c r="J1987" s="1" t="s">
        <v>7559</v>
      </c>
      <c r="K1987" s="2" t="s">
        <v>10408</v>
      </c>
      <c r="P1987" s="7" t="s">
        <v>1241</v>
      </c>
      <c r="AV1987" s="1" t="s">
        <v>38</v>
      </c>
      <c r="BG1987" s="7" t="s">
        <v>1242</v>
      </c>
    </row>
    <row r="1988" spans="1:59" ht="180" x14ac:dyDescent="0.45">
      <c r="A1988" s="5">
        <v>1987</v>
      </c>
      <c r="B1988" s="1" t="s">
        <v>11154</v>
      </c>
      <c r="C1988" s="6"/>
      <c r="E1988" s="1"/>
      <c r="F1988" s="1"/>
      <c r="G1988" s="1"/>
      <c r="J1988" s="1" t="s">
        <v>7559</v>
      </c>
      <c r="K1988" s="11" t="s">
        <v>12015</v>
      </c>
      <c r="P1988" s="7" t="s">
        <v>1241</v>
      </c>
      <c r="AV1988" s="1" t="s">
        <v>38</v>
      </c>
      <c r="BG1988" s="7" t="s">
        <v>1242</v>
      </c>
    </row>
    <row r="1989" spans="1:59" ht="126" x14ac:dyDescent="0.45">
      <c r="A1989" s="5">
        <v>1988</v>
      </c>
      <c r="B1989" s="1" t="s">
        <v>11155</v>
      </c>
      <c r="C1989" s="6"/>
      <c r="E1989" s="1"/>
      <c r="F1989" s="1"/>
      <c r="G1989" s="1"/>
      <c r="J1989" s="1" t="s">
        <v>7559</v>
      </c>
      <c r="K1989" s="2" t="s">
        <v>10409</v>
      </c>
      <c r="P1989" s="7" t="s">
        <v>1241</v>
      </c>
      <c r="AV1989" s="1" t="s">
        <v>38</v>
      </c>
      <c r="BG1989" s="7" t="s">
        <v>1242</v>
      </c>
    </row>
    <row r="1990" spans="1:59" ht="180" x14ac:dyDescent="0.45">
      <c r="A1990" s="5">
        <v>1989</v>
      </c>
      <c r="B1990" s="1" t="s">
        <v>11156</v>
      </c>
      <c r="C1990" s="6"/>
      <c r="E1990" s="1"/>
      <c r="F1990" s="1"/>
      <c r="G1990" s="1"/>
      <c r="J1990" s="1" t="s">
        <v>7559</v>
      </c>
      <c r="K1990" s="11" t="s">
        <v>12016</v>
      </c>
      <c r="P1990" s="7" t="s">
        <v>1241</v>
      </c>
      <c r="AV1990" s="1" t="s">
        <v>38</v>
      </c>
      <c r="BG1990" s="7" t="s">
        <v>1242</v>
      </c>
    </row>
    <row r="1991" spans="1:59" ht="396" x14ac:dyDescent="0.45">
      <c r="A1991" s="5">
        <v>1990</v>
      </c>
      <c r="B1991" s="1" t="s">
        <v>11157</v>
      </c>
      <c r="C1991" s="6"/>
      <c r="E1991" s="1"/>
      <c r="F1991" s="1"/>
      <c r="G1991" s="1"/>
      <c r="J1991" s="1" t="s">
        <v>7559</v>
      </c>
      <c r="K1991" s="11" t="s">
        <v>12017</v>
      </c>
      <c r="P1991" s="7" t="s">
        <v>1241</v>
      </c>
      <c r="AV1991" s="1" t="s">
        <v>38</v>
      </c>
      <c r="BG1991" s="7" t="s">
        <v>1242</v>
      </c>
    </row>
    <row r="1992" spans="1:59" ht="324" x14ac:dyDescent="0.45">
      <c r="A1992" s="5">
        <v>1991</v>
      </c>
      <c r="B1992" s="1" t="s">
        <v>11158</v>
      </c>
      <c r="C1992" s="6"/>
      <c r="E1992" s="1"/>
      <c r="F1992" s="1"/>
      <c r="G1992" s="1"/>
      <c r="J1992" s="1" t="s">
        <v>7559</v>
      </c>
      <c r="K1992" s="2" t="s">
        <v>10410</v>
      </c>
      <c r="P1992" s="7" t="s">
        <v>1241</v>
      </c>
      <c r="AV1992" s="1" t="s">
        <v>38</v>
      </c>
      <c r="BG1992" s="7" t="s">
        <v>1242</v>
      </c>
    </row>
    <row r="1993" spans="1:59" ht="234" x14ac:dyDescent="0.45">
      <c r="A1993" s="5">
        <v>1992</v>
      </c>
      <c r="B1993" s="1" t="s">
        <v>11159</v>
      </c>
      <c r="C1993" s="6"/>
      <c r="E1993" s="1"/>
      <c r="F1993" s="1"/>
      <c r="G1993" s="1"/>
      <c r="J1993" s="1" t="s">
        <v>7559</v>
      </c>
      <c r="K1993" s="11" t="s">
        <v>12018</v>
      </c>
      <c r="P1993" s="7" t="s">
        <v>1241</v>
      </c>
      <c r="AV1993" s="1" t="s">
        <v>38</v>
      </c>
      <c r="BG1993" s="7" t="s">
        <v>1242</v>
      </c>
    </row>
    <row r="1994" spans="1:59" ht="180" x14ac:dyDescent="0.45">
      <c r="A1994" s="5">
        <v>1993</v>
      </c>
      <c r="B1994" s="1" t="s">
        <v>11160</v>
      </c>
      <c r="C1994" s="6"/>
      <c r="E1994" s="1"/>
      <c r="F1994" s="1"/>
      <c r="G1994" s="1"/>
      <c r="J1994" s="1" t="s">
        <v>7559</v>
      </c>
      <c r="K1994" s="2" t="s">
        <v>10411</v>
      </c>
      <c r="P1994" s="7" t="s">
        <v>1241</v>
      </c>
      <c r="AV1994" s="1" t="s">
        <v>38</v>
      </c>
      <c r="BG1994" s="7" t="s">
        <v>1242</v>
      </c>
    </row>
    <row r="1995" spans="1:59" ht="198" x14ac:dyDescent="0.45">
      <c r="A1995" s="5">
        <v>1994</v>
      </c>
      <c r="B1995" s="1" t="s">
        <v>11161</v>
      </c>
      <c r="C1995" s="6"/>
      <c r="E1995" s="1"/>
      <c r="F1995" s="1"/>
      <c r="G1995" s="1"/>
      <c r="J1995" s="1" t="s">
        <v>7559</v>
      </c>
      <c r="K1995" s="2" t="s">
        <v>10412</v>
      </c>
      <c r="P1995" s="7" t="s">
        <v>1241</v>
      </c>
      <c r="AV1995" s="1" t="s">
        <v>38</v>
      </c>
      <c r="BG1995" s="7" t="s">
        <v>1242</v>
      </c>
    </row>
    <row r="1996" spans="1:59" ht="198" x14ac:dyDescent="0.45">
      <c r="A1996" s="5">
        <v>1995</v>
      </c>
      <c r="B1996" s="1" t="s">
        <v>11162</v>
      </c>
      <c r="C1996" s="6"/>
      <c r="E1996" s="1"/>
      <c r="F1996" s="1"/>
      <c r="G1996" s="1"/>
      <c r="J1996" s="1" t="s">
        <v>7559</v>
      </c>
      <c r="K1996" s="2" t="s">
        <v>10413</v>
      </c>
      <c r="P1996" s="7" t="s">
        <v>1241</v>
      </c>
      <c r="AV1996" s="1" t="s">
        <v>38</v>
      </c>
      <c r="BG1996" s="7" t="s">
        <v>1242</v>
      </c>
    </row>
    <row r="1997" spans="1:59" ht="198" x14ac:dyDescent="0.45">
      <c r="A1997" s="5">
        <v>1996</v>
      </c>
      <c r="B1997" s="1" t="s">
        <v>11163</v>
      </c>
      <c r="C1997" s="6"/>
      <c r="E1997" s="1"/>
      <c r="F1997" s="1"/>
      <c r="G1997" s="1"/>
      <c r="J1997" s="1" t="s">
        <v>7559</v>
      </c>
      <c r="K1997" s="11" t="s">
        <v>12019</v>
      </c>
      <c r="P1997" s="7" t="s">
        <v>1241</v>
      </c>
      <c r="AV1997" s="1" t="s">
        <v>38</v>
      </c>
      <c r="BG1997" s="7" t="s">
        <v>1242</v>
      </c>
    </row>
    <row r="1998" spans="1:59" ht="216" x14ac:dyDescent="0.45">
      <c r="A1998" s="5">
        <v>1997</v>
      </c>
      <c r="B1998" s="1" t="s">
        <v>11164</v>
      </c>
      <c r="C1998" s="6"/>
      <c r="E1998" s="1"/>
      <c r="F1998" s="1"/>
      <c r="G1998" s="1"/>
      <c r="J1998" s="1" t="s">
        <v>7559</v>
      </c>
      <c r="K1998" s="11" t="s">
        <v>12020</v>
      </c>
      <c r="P1998" s="7" t="s">
        <v>1241</v>
      </c>
      <c r="AV1998" s="1" t="s">
        <v>38</v>
      </c>
      <c r="BG1998" s="7" t="s">
        <v>1242</v>
      </c>
    </row>
    <row r="1999" spans="1:59" ht="126" x14ac:dyDescent="0.45">
      <c r="A1999" s="5">
        <v>1998</v>
      </c>
      <c r="B1999" s="1" t="s">
        <v>11165</v>
      </c>
      <c r="C1999" s="6"/>
      <c r="E1999" s="1"/>
      <c r="F1999" s="1"/>
      <c r="G1999" s="1"/>
      <c r="J1999" s="1" t="s">
        <v>7559</v>
      </c>
      <c r="K1999" s="2" t="s">
        <v>10414</v>
      </c>
      <c r="P1999" s="7" t="s">
        <v>1241</v>
      </c>
      <c r="AV1999" s="1" t="s">
        <v>38</v>
      </c>
      <c r="BG1999" s="7" t="s">
        <v>1242</v>
      </c>
    </row>
    <row r="2000" spans="1:59" ht="270" x14ac:dyDescent="0.45">
      <c r="A2000" s="5">
        <v>1999</v>
      </c>
      <c r="B2000" s="1" t="s">
        <v>11166</v>
      </c>
      <c r="C2000" s="6"/>
      <c r="E2000" s="1"/>
      <c r="F2000" s="1"/>
      <c r="G2000" s="1"/>
      <c r="J2000" s="1" t="s">
        <v>7559</v>
      </c>
      <c r="K2000" s="2" t="s">
        <v>10415</v>
      </c>
      <c r="P2000" s="7" t="s">
        <v>1241</v>
      </c>
      <c r="AV2000" s="1" t="s">
        <v>38</v>
      </c>
      <c r="BG2000" s="7" t="s">
        <v>1242</v>
      </c>
    </row>
    <row r="2001" spans="1:59" ht="126" x14ac:dyDescent="0.45">
      <c r="A2001" s="5">
        <v>2000</v>
      </c>
      <c r="B2001" s="1" t="s">
        <v>11167</v>
      </c>
      <c r="C2001" s="6"/>
      <c r="E2001" s="1"/>
      <c r="F2001" s="1"/>
      <c r="G2001" s="1"/>
      <c r="J2001" s="1" t="s">
        <v>7559</v>
      </c>
      <c r="K2001" s="2" t="s">
        <v>10507</v>
      </c>
      <c r="P2001" s="7" t="s">
        <v>1241</v>
      </c>
      <c r="AV2001" s="1" t="s">
        <v>38</v>
      </c>
      <c r="BG2001" s="7" t="s">
        <v>1242</v>
      </c>
    </row>
    <row r="2002" spans="1:59" ht="198" x14ac:dyDescent="0.45">
      <c r="A2002" s="5">
        <v>2001</v>
      </c>
      <c r="B2002" s="1" t="s">
        <v>11168</v>
      </c>
      <c r="C2002" s="6"/>
      <c r="E2002" s="1"/>
      <c r="F2002" s="1"/>
      <c r="G2002" s="1"/>
      <c r="J2002" s="1" t="s">
        <v>7559</v>
      </c>
      <c r="K2002" s="2" t="s">
        <v>10420</v>
      </c>
      <c r="P2002" s="7" t="s">
        <v>1241</v>
      </c>
      <c r="AV2002" s="1" t="s">
        <v>38</v>
      </c>
      <c r="BG2002" s="7" t="s">
        <v>1242</v>
      </c>
    </row>
    <row r="2003" spans="1:59" ht="234" x14ac:dyDescent="0.45">
      <c r="A2003" s="5">
        <v>2002</v>
      </c>
      <c r="B2003" s="1" t="s">
        <v>11169</v>
      </c>
      <c r="C2003" s="6"/>
      <c r="E2003" s="1"/>
      <c r="F2003" s="1"/>
      <c r="G2003" s="1"/>
      <c r="J2003" s="1" t="s">
        <v>7559</v>
      </c>
      <c r="K2003" s="2" t="s">
        <v>10421</v>
      </c>
      <c r="P2003" s="7" t="s">
        <v>1241</v>
      </c>
      <c r="AV2003" s="1" t="s">
        <v>38</v>
      </c>
      <c r="BG2003" s="7" t="s">
        <v>1242</v>
      </c>
    </row>
    <row r="2004" spans="1:59" ht="360" x14ac:dyDescent="0.45">
      <c r="A2004" s="5">
        <v>2003</v>
      </c>
      <c r="B2004" s="1" t="s">
        <v>11170</v>
      </c>
      <c r="C2004" s="6"/>
      <c r="E2004" s="1"/>
      <c r="F2004" s="1"/>
      <c r="G2004" s="1"/>
      <c r="J2004" s="1" t="s">
        <v>7559</v>
      </c>
      <c r="K2004" s="2" t="s">
        <v>11728</v>
      </c>
      <c r="P2004" s="7" t="s">
        <v>1241</v>
      </c>
      <c r="AV2004" s="1" t="s">
        <v>38</v>
      </c>
      <c r="BG2004" s="7" t="s">
        <v>1242</v>
      </c>
    </row>
    <row r="2005" spans="1:59" ht="360" x14ac:dyDescent="0.45">
      <c r="A2005" s="5">
        <v>2004</v>
      </c>
      <c r="B2005" s="1" t="s">
        <v>11171</v>
      </c>
      <c r="C2005" s="6"/>
      <c r="E2005" s="1"/>
      <c r="F2005" s="1"/>
      <c r="G2005" s="1"/>
      <c r="J2005" s="1" t="s">
        <v>7559</v>
      </c>
      <c r="K2005" s="2" t="s">
        <v>11765</v>
      </c>
      <c r="P2005" s="7" t="s">
        <v>1241</v>
      </c>
      <c r="AV2005" s="1" t="s">
        <v>38</v>
      </c>
      <c r="BG2005" s="7" t="s">
        <v>1242</v>
      </c>
    </row>
    <row r="2006" spans="1:59" ht="180" x14ac:dyDescent="0.45">
      <c r="A2006" s="5">
        <v>2005</v>
      </c>
      <c r="B2006" s="1" t="s">
        <v>11172</v>
      </c>
      <c r="C2006" s="6"/>
      <c r="E2006" s="1"/>
      <c r="F2006" s="1"/>
      <c r="G2006" s="1"/>
      <c r="J2006" s="1" t="s">
        <v>7559</v>
      </c>
      <c r="K2006" s="2" t="s">
        <v>10422</v>
      </c>
      <c r="P2006" s="7" t="s">
        <v>1241</v>
      </c>
      <c r="AV2006" s="1" t="s">
        <v>38</v>
      </c>
      <c r="BG2006" s="7" t="s">
        <v>1242</v>
      </c>
    </row>
    <row r="2007" spans="1:59" ht="216" x14ac:dyDescent="0.45">
      <c r="A2007" s="5">
        <v>2006</v>
      </c>
      <c r="B2007" s="1" t="s">
        <v>11173</v>
      </c>
      <c r="C2007" s="6"/>
      <c r="E2007" s="1"/>
      <c r="F2007" s="1"/>
      <c r="G2007" s="1"/>
      <c r="J2007" s="1" t="s">
        <v>7559</v>
      </c>
      <c r="K2007" s="2" t="s">
        <v>10423</v>
      </c>
      <c r="P2007" s="7" t="s">
        <v>1241</v>
      </c>
      <c r="AV2007" s="1" t="s">
        <v>38</v>
      </c>
      <c r="BG2007" s="7" t="s">
        <v>1242</v>
      </c>
    </row>
    <row r="2008" spans="1:59" ht="396" x14ac:dyDescent="0.45">
      <c r="A2008" s="5">
        <v>2007</v>
      </c>
      <c r="B2008" s="1" t="s">
        <v>11174</v>
      </c>
      <c r="C2008" s="6"/>
      <c r="E2008" s="1"/>
      <c r="F2008" s="1"/>
      <c r="G2008" s="1"/>
      <c r="J2008" s="1" t="s">
        <v>7559</v>
      </c>
      <c r="K2008" s="11" t="s">
        <v>12021</v>
      </c>
      <c r="P2008" s="7" t="s">
        <v>1241</v>
      </c>
      <c r="AV2008" s="1" t="s">
        <v>38</v>
      </c>
      <c r="BG2008" s="7" t="s">
        <v>1242</v>
      </c>
    </row>
    <row r="2009" spans="1:59" ht="180" x14ac:dyDescent="0.45">
      <c r="A2009" s="5">
        <v>2008</v>
      </c>
      <c r="B2009" s="1" t="s">
        <v>11175</v>
      </c>
      <c r="C2009" s="6"/>
      <c r="E2009" s="1"/>
      <c r="F2009" s="1"/>
      <c r="G2009" s="1"/>
      <c r="J2009" s="1" t="s">
        <v>7559</v>
      </c>
      <c r="K2009" s="11" t="s">
        <v>12022</v>
      </c>
      <c r="P2009" s="7" t="s">
        <v>1241</v>
      </c>
      <c r="AV2009" s="1" t="s">
        <v>38</v>
      </c>
      <c r="BG2009" s="7" t="s">
        <v>1242</v>
      </c>
    </row>
    <row r="2010" spans="1:59" ht="396" x14ac:dyDescent="0.45">
      <c r="A2010" s="5">
        <v>2009</v>
      </c>
      <c r="B2010" s="1" t="s">
        <v>11176</v>
      </c>
      <c r="C2010" s="6"/>
      <c r="E2010" s="1"/>
      <c r="F2010" s="1"/>
      <c r="G2010" s="1"/>
      <c r="J2010" s="1" t="s">
        <v>7559</v>
      </c>
      <c r="K2010" s="11" t="s">
        <v>12023</v>
      </c>
      <c r="P2010" s="7" t="s">
        <v>1241</v>
      </c>
      <c r="AV2010" s="1" t="s">
        <v>38</v>
      </c>
      <c r="BG2010" s="7" t="s">
        <v>1242</v>
      </c>
    </row>
    <row r="2011" spans="1:59" ht="198" x14ac:dyDescent="0.45">
      <c r="A2011" s="5">
        <v>2010</v>
      </c>
      <c r="B2011" s="1" t="s">
        <v>11177</v>
      </c>
      <c r="C2011" s="6"/>
      <c r="E2011" s="1"/>
      <c r="F2011" s="1"/>
      <c r="G2011" s="1"/>
      <c r="J2011" s="1" t="s">
        <v>7559</v>
      </c>
      <c r="K2011" s="2" t="s">
        <v>10424</v>
      </c>
      <c r="P2011" s="7" t="s">
        <v>1241</v>
      </c>
      <c r="AV2011" s="1" t="s">
        <v>38</v>
      </c>
      <c r="BG2011" s="7" t="s">
        <v>1242</v>
      </c>
    </row>
    <row r="2012" spans="1:59" ht="252" x14ac:dyDescent="0.45">
      <c r="A2012" s="5">
        <v>2011</v>
      </c>
      <c r="B2012" s="1" t="s">
        <v>11178</v>
      </c>
      <c r="C2012" s="6"/>
      <c r="E2012" s="1"/>
      <c r="F2012" s="1"/>
      <c r="G2012" s="1"/>
      <c r="J2012" s="1" t="s">
        <v>7559</v>
      </c>
      <c r="K2012" s="11" t="s">
        <v>12024</v>
      </c>
      <c r="P2012" s="7" t="s">
        <v>1241</v>
      </c>
      <c r="AV2012" s="1" t="s">
        <v>38</v>
      </c>
      <c r="BG2012" s="7" t="s">
        <v>1242</v>
      </c>
    </row>
    <row r="2013" spans="1:59" ht="126" x14ac:dyDescent="0.45">
      <c r="A2013" s="5">
        <v>2012</v>
      </c>
      <c r="B2013" s="1" t="s">
        <v>11179</v>
      </c>
      <c r="C2013" s="6"/>
      <c r="E2013" s="1"/>
      <c r="F2013" s="1"/>
      <c r="G2013" s="1"/>
      <c r="J2013" s="1" t="s">
        <v>7559</v>
      </c>
      <c r="K2013" s="2" t="s">
        <v>10425</v>
      </c>
      <c r="P2013" s="7" t="s">
        <v>1241</v>
      </c>
      <c r="AV2013" s="1" t="s">
        <v>38</v>
      </c>
      <c r="BG2013" s="7" t="s">
        <v>1242</v>
      </c>
    </row>
    <row r="2014" spans="1:59" ht="324" x14ac:dyDescent="0.45">
      <c r="A2014" s="5">
        <v>2013</v>
      </c>
      <c r="B2014" s="1" t="s">
        <v>11180</v>
      </c>
      <c r="C2014" s="6"/>
      <c r="E2014" s="1"/>
      <c r="F2014" s="1"/>
      <c r="G2014" s="1"/>
      <c r="J2014" s="1" t="s">
        <v>7559</v>
      </c>
      <c r="K2014" s="11" t="s">
        <v>12025</v>
      </c>
      <c r="P2014" s="7" t="s">
        <v>1241</v>
      </c>
      <c r="AV2014" s="1" t="s">
        <v>38</v>
      </c>
      <c r="BG2014" s="7" t="s">
        <v>1242</v>
      </c>
    </row>
    <row r="2015" spans="1:59" ht="270" x14ac:dyDescent="0.45">
      <c r="A2015" s="5">
        <v>2014</v>
      </c>
      <c r="B2015" s="1" t="s">
        <v>11181</v>
      </c>
      <c r="C2015" s="6"/>
      <c r="E2015" s="1"/>
      <c r="F2015" s="1"/>
      <c r="G2015" s="1"/>
      <c r="J2015" s="1" t="s">
        <v>7559</v>
      </c>
      <c r="K2015" s="11" t="s">
        <v>12026</v>
      </c>
      <c r="P2015" s="7" t="s">
        <v>1241</v>
      </c>
      <c r="AV2015" s="1" t="s">
        <v>38</v>
      </c>
      <c r="BG2015" s="7" t="s">
        <v>1242</v>
      </c>
    </row>
    <row r="2016" spans="1:59" ht="216" x14ac:dyDescent="0.45">
      <c r="A2016" s="5">
        <v>2015</v>
      </c>
      <c r="B2016" s="1" t="s">
        <v>11182</v>
      </c>
      <c r="C2016" s="6"/>
      <c r="E2016" s="1"/>
      <c r="F2016" s="1"/>
      <c r="G2016" s="1"/>
      <c r="J2016" s="1" t="s">
        <v>7559</v>
      </c>
      <c r="K2016" s="2" t="s">
        <v>10426</v>
      </c>
      <c r="P2016" s="7" t="s">
        <v>1241</v>
      </c>
      <c r="AV2016" s="1" t="s">
        <v>38</v>
      </c>
      <c r="BG2016" s="7" t="s">
        <v>1242</v>
      </c>
    </row>
    <row r="2017" spans="1:59" ht="144" x14ac:dyDescent="0.45">
      <c r="A2017" s="5">
        <v>2016</v>
      </c>
      <c r="B2017" s="1" t="s">
        <v>11183</v>
      </c>
      <c r="C2017" s="6"/>
      <c r="E2017" s="1"/>
      <c r="F2017" s="1"/>
      <c r="G2017" s="1"/>
      <c r="J2017" s="1" t="s">
        <v>7559</v>
      </c>
      <c r="K2017" s="2" t="s">
        <v>10427</v>
      </c>
      <c r="P2017" s="7" t="s">
        <v>1241</v>
      </c>
      <c r="AV2017" s="1" t="s">
        <v>38</v>
      </c>
      <c r="BG2017" s="7" t="s">
        <v>1242</v>
      </c>
    </row>
    <row r="2018" spans="1:59" ht="198" x14ac:dyDescent="0.45">
      <c r="A2018" s="5">
        <v>2017</v>
      </c>
      <c r="B2018" s="1" t="s">
        <v>11184</v>
      </c>
      <c r="C2018" s="6"/>
      <c r="E2018" s="1"/>
      <c r="F2018" s="1"/>
      <c r="G2018" s="1"/>
      <c r="J2018" s="1" t="s">
        <v>7559</v>
      </c>
      <c r="K2018" s="2" t="s">
        <v>10428</v>
      </c>
      <c r="P2018" s="7" t="s">
        <v>1241</v>
      </c>
      <c r="AV2018" s="1" t="s">
        <v>38</v>
      </c>
      <c r="BG2018" s="7" t="s">
        <v>1242</v>
      </c>
    </row>
    <row r="2019" spans="1:59" ht="90" x14ac:dyDescent="0.45">
      <c r="A2019" s="5">
        <v>2018</v>
      </c>
      <c r="B2019" s="1" t="s">
        <v>11185</v>
      </c>
      <c r="C2019" s="6"/>
      <c r="E2019" s="1"/>
      <c r="F2019" s="1"/>
      <c r="G2019" s="1"/>
      <c r="J2019" s="1" t="s">
        <v>7559</v>
      </c>
      <c r="K2019" s="2" t="s">
        <v>10429</v>
      </c>
      <c r="P2019" s="7" t="s">
        <v>1241</v>
      </c>
      <c r="AV2019" s="1" t="s">
        <v>38</v>
      </c>
      <c r="BG2019" s="7" t="s">
        <v>1242</v>
      </c>
    </row>
    <row r="2020" spans="1:59" ht="126" x14ac:dyDescent="0.45">
      <c r="A2020" s="5">
        <v>2019</v>
      </c>
      <c r="B2020" s="1" t="s">
        <v>11186</v>
      </c>
      <c r="C2020" s="6"/>
      <c r="E2020" s="1"/>
      <c r="F2020" s="1"/>
      <c r="G2020" s="1"/>
      <c r="J2020" s="1" t="s">
        <v>7559</v>
      </c>
      <c r="K2020" s="2" t="s">
        <v>11766</v>
      </c>
      <c r="P2020" s="7" t="s">
        <v>1241</v>
      </c>
      <c r="AV2020" s="1" t="s">
        <v>38</v>
      </c>
      <c r="BG2020" s="7" t="s">
        <v>1242</v>
      </c>
    </row>
    <row r="2021" spans="1:59" ht="180" x14ac:dyDescent="0.45">
      <c r="A2021" s="5">
        <v>2020</v>
      </c>
      <c r="B2021" s="1" t="s">
        <v>11187</v>
      </c>
      <c r="C2021" s="6"/>
      <c r="E2021" s="1"/>
      <c r="F2021" s="1"/>
      <c r="G2021" s="1"/>
      <c r="J2021" s="1" t="s">
        <v>7559</v>
      </c>
      <c r="K2021" s="2" t="s">
        <v>10430</v>
      </c>
      <c r="P2021" s="7" t="s">
        <v>1241</v>
      </c>
      <c r="AV2021" s="1" t="s">
        <v>38</v>
      </c>
      <c r="BG2021" s="7" t="s">
        <v>1242</v>
      </c>
    </row>
    <row r="2022" spans="1:59" ht="216" x14ac:dyDescent="0.45">
      <c r="A2022" s="5">
        <v>2021</v>
      </c>
      <c r="B2022" s="1" t="s">
        <v>11188</v>
      </c>
      <c r="C2022" s="6"/>
      <c r="E2022" s="1"/>
      <c r="F2022" s="1"/>
      <c r="G2022" s="1"/>
      <c r="J2022" s="1" t="s">
        <v>7559</v>
      </c>
      <c r="K2022" s="11" t="s">
        <v>12027</v>
      </c>
      <c r="P2022" s="7" t="s">
        <v>1241</v>
      </c>
      <c r="AV2022" s="1" t="s">
        <v>38</v>
      </c>
      <c r="BG2022" s="7" t="s">
        <v>1242</v>
      </c>
    </row>
    <row r="2023" spans="1:59" ht="180" x14ac:dyDescent="0.45">
      <c r="A2023" s="5">
        <v>2022</v>
      </c>
      <c r="B2023" s="1" t="s">
        <v>11189</v>
      </c>
      <c r="C2023" s="6"/>
      <c r="E2023" s="1"/>
      <c r="F2023" s="1"/>
      <c r="G2023" s="1"/>
      <c r="J2023" s="1" t="s">
        <v>7559</v>
      </c>
      <c r="K2023" s="2" t="s">
        <v>10431</v>
      </c>
      <c r="P2023" s="7" t="s">
        <v>1241</v>
      </c>
      <c r="AV2023" s="1" t="s">
        <v>38</v>
      </c>
      <c r="BG2023" s="7" t="s">
        <v>1242</v>
      </c>
    </row>
    <row r="2024" spans="1:59" ht="288" x14ac:dyDescent="0.45">
      <c r="A2024" s="5">
        <v>2023</v>
      </c>
      <c r="B2024" s="1" t="s">
        <v>11190</v>
      </c>
      <c r="C2024" s="6"/>
      <c r="E2024" s="1"/>
      <c r="F2024" s="1"/>
      <c r="G2024" s="1"/>
      <c r="J2024" s="1" t="s">
        <v>7559</v>
      </c>
      <c r="K2024" s="2" t="s">
        <v>10563</v>
      </c>
      <c r="P2024" s="7" t="s">
        <v>1241</v>
      </c>
      <c r="AV2024" s="1" t="s">
        <v>38</v>
      </c>
      <c r="BG2024" s="7" t="s">
        <v>1242</v>
      </c>
    </row>
    <row r="2025" spans="1:59" ht="126" x14ac:dyDescent="0.45">
      <c r="A2025" s="5">
        <v>2024</v>
      </c>
      <c r="B2025" s="1" t="s">
        <v>11191</v>
      </c>
      <c r="C2025" s="6"/>
      <c r="E2025" s="1"/>
      <c r="F2025" s="1"/>
      <c r="G2025" s="1"/>
      <c r="J2025" s="1" t="s">
        <v>7559</v>
      </c>
      <c r="K2025" s="2" t="s">
        <v>10432</v>
      </c>
      <c r="P2025" s="7" t="s">
        <v>1241</v>
      </c>
      <c r="AV2025" s="1" t="s">
        <v>38</v>
      </c>
      <c r="BG2025" s="7" t="s">
        <v>1242</v>
      </c>
    </row>
    <row r="2026" spans="1:59" ht="72" x14ac:dyDescent="0.45">
      <c r="A2026" s="5">
        <v>2025</v>
      </c>
      <c r="B2026" s="1" t="s">
        <v>11192</v>
      </c>
      <c r="C2026" s="6"/>
      <c r="E2026" s="1"/>
      <c r="F2026" s="1"/>
      <c r="G2026" s="1"/>
      <c r="J2026" s="1" t="s">
        <v>7559</v>
      </c>
      <c r="K2026" s="2" t="s">
        <v>10433</v>
      </c>
      <c r="P2026" s="7" t="s">
        <v>1241</v>
      </c>
      <c r="AV2026" s="1" t="s">
        <v>38</v>
      </c>
      <c r="BG2026" s="7" t="s">
        <v>1242</v>
      </c>
    </row>
    <row r="2027" spans="1:59" ht="108" x14ac:dyDescent="0.45">
      <c r="A2027" s="5">
        <v>2026</v>
      </c>
      <c r="B2027" s="1" t="s">
        <v>11193</v>
      </c>
      <c r="C2027" s="6"/>
      <c r="E2027" s="1"/>
      <c r="F2027" s="1"/>
      <c r="G2027" s="1"/>
      <c r="J2027" s="1" t="s">
        <v>7559</v>
      </c>
      <c r="K2027" s="2" t="s">
        <v>10434</v>
      </c>
      <c r="P2027" s="7" t="s">
        <v>1241</v>
      </c>
      <c r="AV2027" s="1" t="s">
        <v>38</v>
      </c>
      <c r="BG2027" s="7" t="s">
        <v>1242</v>
      </c>
    </row>
    <row r="2028" spans="1:59" ht="108" x14ac:dyDescent="0.45">
      <c r="A2028" s="5">
        <v>2027</v>
      </c>
      <c r="B2028" s="1" t="s">
        <v>11194</v>
      </c>
      <c r="C2028" s="6"/>
      <c r="E2028" s="1"/>
      <c r="F2028" s="1"/>
      <c r="G2028" s="1"/>
      <c r="J2028" s="1" t="s">
        <v>7559</v>
      </c>
      <c r="K2028" s="2" t="s">
        <v>10435</v>
      </c>
      <c r="P2028" s="7" t="s">
        <v>1241</v>
      </c>
      <c r="AV2028" s="1" t="s">
        <v>38</v>
      </c>
      <c r="BG2028" s="7" t="s">
        <v>1242</v>
      </c>
    </row>
    <row r="2029" spans="1:59" ht="108" x14ac:dyDescent="0.45">
      <c r="A2029" s="5">
        <v>2028</v>
      </c>
      <c r="B2029" s="1" t="s">
        <v>11195</v>
      </c>
      <c r="C2029" s="6"/>
      <c r="E2029" s="1"/>
      <c r="F2029" s="1"/>
      <c r="G2029" s="1"/>
      <c r="J2029" s="1" t="s">
        <v>7559</v>
      </c>
      <c r="K2029" s="2" t="s">
        <v>10436</v>
      </c>
      <c r="P2029" s="7" t="s">
        <v>1241</v>
      </c>
      <c r="AV2029" s="1" t="s">
        <v>38</v>
      </c>
      <c r="BG2029" s="7" t="s">
        <v>1242</v>
      </c>
    </row>
    <row r="2030" spans="1:59" ht="126" x14ac:dyDescent="0.45">
      <c r="A2030" s="5">
        <v>2029</v>
      </c>
      <c r="B2030" s="1" t="s">
        <v>11196</v>
      </c>
      <c r="C2030" s="6"/>
      <c r="E2030" s="1"/>
      <c r="F2030" s="1"/>
      <c r="G2030" s="1"/>
      <c r="J2030" s="1" t="s">
        <v>7559</v>
      </c>
      <c r="K2030" s="2" t="s">
        <v>10437</v>
      </c>
      <c r="P2030" s="7" t="s">
        <v>1241</v>
      </c>
      <c r="AV2030" s="1" t="s">
        <v>38</v>
      </c>
      <c r="BG2030" s="7" t="s">
        <v>1242</v>
      </c>
    </row>
    <row r="2031" spans="1:59" ht="144" x14ac:dyDescent="0.45">
      <c r="A2031" s="5">
        <v>2030</v>
      </c>
      <c r="B2031" s="1" t="s">
        <v>11197</v>
      </c>
      <c r="C2031" s="6"/>
      <c r="E2031" s="1"/>
      <c r="F2031" s="1"/>
      <c r="G2031" s="1"/>
      <c r="J2031" s="1" t="s">
        <v>7559</v>
      </c>
      <c r="K2031" s="2" t="s">
        <v>10438</v>
      </c>
      <c r="P2031" s="7" t="s">
        <v>1241</v>
      </c>
      <c r="AV2031" s="1" t="s">
        <v>38</v>
      </c>
      <c r="BG2031" s="7" t="s">
        <v>1242</v>
      </c>
    </row>
    <row r="2032" spans="1:59" ht="126" x14ac:dyDescent="0.45">
      <c r="A2032" s="5">
        <v>2031</v>
      </c>
      <c r="B2032" s="1" t="s">
        <v>11198</v>
      </c>
      <c r="C2032" s="6"/>
      <c r="E2032" s="1"/>
      <c r="F2032" s="1"/>
      <c r="G2032" s="1"/>
      <c r="J2032" s="1" t="s">
        <v>7559</v>
      </c>
      <c r="K2032" s="2" t="s">
        <v>10439</v>
      </c>
      <c r="P2032" s="7" t="s">
        <v>1241</v>
      </c>
      <c r="AV2032" s="1" t="s">
        <v>38</v>
      </c>
      <c r="BG2032" s="7" t="s">
        <v>1242</v>
      </c>
    </row>
    <row r="2033" spans="1:59" ht="126" x14ac:dyDescent="0.45">
      <c r="A2033" s="5">
        <v>2032</v>
      </c>
      <c r="B2033" s="1" t="s">
        <v>11199</v>
      </c>
      <c r="C2033" s="6"/>
      <c r="E2033" s="1"/>
      <c r="F2033" s="1"/>
      <c r="G2033" s="1"/>
      <c r="J2033" s="1" t="s">
        <v>7559</v>
      </c>
      <c r="K2033" s="2" t="s">
        <v>10440</v>
      </c>
      <c r="P2033" s="7" t="s">
        <v>1241</v>
      </c>
      <c r="AV2033" s="1" t="s">
        <v>38</v>
      </c>
      <c r="BG2033" s="7" t="s">
        <v>1242</v>
      </c>
    </row>
    <row r="2034" spans="1:59" ht="126" x14ac:dyDescent="0.45">
      <c r="A2034" s="5">
        <v>2033</v>
      </c>
      <c r="B2034" s="1" t="s">
        <v>11200</v>
      </c>
      <c r="C2034" s="6"/>
      <c r="E2034" s="1"/>
      <c r="F2034" s="1"/>
      <c r="G2034" s="1"/>
      <c r="J2034" s="1" t="s">
        <v>7559</v>
      </c>
      <c r="K2034" s="2" t="s">
        <v>10441</v>
      </c>
      <c r="P2034" s="7" t="s">
        <v>1241</v>
      </c>
      <c r="AV2034" s="1" t="s">
        <v>38</v>
      </c>
      <c r="BG2034" s="7" t="s">
        <v>1242</v>
      </c>
    </row>
    <row r="2035" spans="1:59" ht="144" x14ac:dyDescent="0.45">
      <c r="A2035" s="5">
        <v>2034</v>
      </c>
      <c r="B2035" s="1" t="s">
        <v>11201</v>
      </c>
      <c r="C2035" s="6"/>
      <c r="E2035" s="1"/>
      <c r="F2035" s="1"/>
      <c r="G2035" s="1"/>
      <c r="J2035" s="1" t="s">
        <v>7559</v>
      </c>
      <c r="K2035" s="2" t="s">
        <v>10442</v>
      </c>
      <c r="P2035" s="7" t="s">
        <v>1241</v>
      </c>
      <c r="AV2035" s="1" t="s">
        <v>38</v>
      </c>
      <c r="BG2035" s="7" t="s">
        <v>1242</v>
      </c>
    </row>
    <row r="2036" spans="1:59" ht="126" x14ac:dyDescent="0.45">
      <c r="A2036" s="5">
        <v>2035</v>
      </c>
      <c r="B2036" s="1" t="s">
        <v>11202</v>
      </c>
      <c r="C2036" s="6"/>
      <c r="E2036" s="1"/>
      <c r="F2036" s="1"/>
      <c r="G2036" s="1"/>
      <c r="J2036" s="1" t="s">
        <v>7559</v>
      </c>
      <c r="K2036" s="2" t="s">
        <v>10443</v>
      </c>
      <c r="P2036" s="7" t="s">
        <v>1241</v>
      </c>
      <c r="AV2036" s="1" t="s">
        <v>38</v>
      </c>
      <c r="BG2036" s="7" t="s">
        <v>1242</v>
      </c>
    </row>
    <row r="2037" spans="1:59" ht="180" x14ac:dyDescent="0.45">
      <c r="A2037" s="5">
        <v>2036</v>
      </c>
      <c r="B2037" s="1" t="s">
        <v>11203</v>
      </c>
      <c r="C2037" s="6"/>
      <c r="E2037" s="1"/>
      <c r="F2037" s="1"/>
      <c r="G2037" s="1"/>
      <c r="J2037" s="1" t="s">
        <v>7559</v>
      </c>
      <c r="K2037" s="2" t="s">
        <v>10444</v>
      </c>
      <c r="P2037" s="7" t="s">
        <v>1241</v>
      </c>
      <c r="AV2037" s="1" t="s">
        <v>38</v>
      </c>
      <c r="BG2037" s="7" t="s">
        <v>1242</v>
      </c>
    </row>
    <row r="2038" spans="1:59" ht="252" x14ac:dyDescent="0.45">
      <c r="A2038" s="5">
        <v>2037</v>
      </c>
      <c r="B2038" s="1" t="s">
        <v>11204</v>
      </c>
      <c r="C2038" s="6"/>
      <c r="E2038" s="1"/>
      <c r="F2038" s="1"/>
      <c r="G2038" s="1"/>
      <c r="J2038" s="1" t="s">
        <v>7559</v>
      </c>
      <c r="K2038" s="2" t="s">
        <v>10449</v>
      </c>
      <c r="P2038" s="7" t="s">
        <v>1241</v>
      </c>
      <c r="AV2038" s="1" t="s">
        <v>38</v>
      </c>
      <c r="BG2038" s="7" t="s">
        <v>1242</v>
      </c>
    </row>
    <row r="2039" spans="1:59" ht="126" x14ac:dyDescent="0.45">
      <c r="A2039" s="5">
        <v>2038</v>
      </c>
      <c r="B2039" s="1" t="s">
        <v>11205</v>
      </c>
      <c r="C2039" s="6"/>
      <c r="E2039" s="1"/>
      <c r="F2039" s="1"/>
      <c r="G2039" s="1"/>
      <c r="J2039" s="1" t="s">
        <v>7559</v>
      </c>
      <c r="K2039" s="2" t="s">
        <v>10450</v>
      </c>
      <c r="P2039" s="7" t="s">
        <v>1241</v>
      </c>
      <c r="AV2039" s="1" t="s">
        <v>38</v>
      </c>
      <c r="BG2039" s="7" t="s">
        <v>1242</v>
      </c>
    </row>
    <row r="2040" spans="1:59" ht="144" x14ac:dyDescent="0.45">
      <c r="A2040" s="5">
        <v>2039</v>
      </c>
      <c r="B2040" s="1" t="s">
        <v>11206</v>
      </c>
      <c r="C2040" s="6"/>
      <c r="E2040" s="1"/>
      <c r="F2040" s="1"/>
      <c r="G2040" s="1"/>
      <c r="J2040" s="1" t="s">
        <v>7559</v>
      </c>
      <c r="K2040" s="2" t="s">
        <v>10451</v>
      </c>
      <c r="P2040" s="7" t="s">
        <v>1241</v>
      </c>
      <c r="AV2040" s="1" t="s">
        <v>38</v>
      </c>
      <c r="BG2040" s="7" t="s">
        <v>1242</v>
      </c>
    </row>
    <row r="2041" spans="1:59" ht="234" x14ac:dyDescent="0.45">
      <c r="A2041" s="5">
        <v>2040</v>
      </c>
      <c r="B2041" s="1" t="s">
        <v>11207</v>
      </c>
      <c r="C2041" s="6"/>
      <c r="E2041" s="1"/>
      <c r="F2041" s="1"/>
      <c r="G2041" s="1"/>
      <c r="J2041" s="1" t="s">
        <v>7559</v>
      </c>
      <c r="K2041" s="2" t="s">
        <v>10452</v>
      </c>
      <c r="P2041" s="7" t="s">
        <v>1241</v>
      </c>
      <c r="AV2041" s="1" t="s">
        <v>38</v>
      </c>
      <c r="BG2041" s="7" t="s">
        <v>1242</v>
      </c>
    </row>
    <row r="2042" spans="1:59" ht="216" x14ac:dyDescent="0.45">
      <c r="A2042" s="5">
        <v>2041</v>
      </c>
      <c r="B2042" s="1" t="s">
        <v>11208</v>
      </c>
      <c r="C2042" s="6"/>
      <c r="E2042" s="1"/>
      <c r="F2042" s="1"/>
      <c r="G2042" s="1"/>
      <c r="J2042" s="1" t="s">
        <v>7559</v>
      </c>
      <c r="K2042" s="2" t="s">
        <v>10453</v>
      </c>
      <c r="P2042" s="7" t="s">
        <v>1241</v>
      </c>
      <c r="AV2042" s="1" t="s">
        <v>38</v>
      </c>
      <c r="BG2042" s="7" t="s">
        <v>1242</v>
      </c>
    </row>
    <row r="2043" spans="1:59" ht="144" x14ac:dyDescent="0.45">
      <c r="A2043" s="5">
        <v>2042</v>
      </c>
      <c r="B2043" s="1" t="s">
        <v>11209</v>
      </c>
      <c r="C2043" s="6"/>
      <c r="E2043" s="1"/>
      <c r="F2043" s="1"/>
      <c r="G2043" s="1"/>
      <c r="J2043" s="1" t="s">
        <v>7559</v>
      </c>
      <c r="K2043" s="2" t="s">
        <v>11767</v>
      </c>
      <c r="P2043" s="7" t="s">
        <v>1241</v>
      </c>
      <c r="AV2043" s="1" t="s">
        <v>38</v>
      </c>
      <c r="BG2043" s="7" t="s">
        <v>1242</v>
      </c>
    </row>
    <row r="2044" spans="1:59" ht="162" x14ac:dyDescent="0.45">
      <c r="A2044" s="5">
        <v>2043</v>
      </c>
      <c r="B2044" s="1" t="s">
        <v>11210</v>
      </c>
      <c r="C2044" s="6"/>
      <c r="E2044" s="1"/>
      <c r="F2044" s="1"/>
      <c r="G2044" s="1"/>
      <c r="J2044" s="1" t="s">
        <v>7559</v>
      </c>
      <c r="K2044" s="2" t="s">
        <v>10454</v>
      </c>
      <c r="P2044" s="7" t="s">
        <v>1241</v>
      </c>
      <c r="AV2044" s="1" t="s">
        <v>38</v>
      </c>
      <c r="BG2044" s="7" t="s">
        <v>1242</v>
      </c>
    </row>
    <row r="2045" spans="1:59" ht="126" x14ac:dyDescent="0.45">
      <c r="A2045" s="5">
        <v>2044</v>
      </c>
      <c r="B2045" s="1" t="s">
        <v>11211</v>
      </c>
      <c r="C2045" s="6"/>
      <c r="E2045" s="1"/>
      <c r="F2045" s="1"/>
      <c r="G2045" s="1"/>
      <c r="J2045" s="1" t="s">
        <v>7559</v>
      </c>
      <c r="K2045" s="2" t="s">
        <v>10455</v>
      </c>
      <c r="P2045" s="7" t="s">
        <v>1241</v>
      </c>
      <c r="AV2045" s="1" t="s">
        <v>38</v>
      </c>
      <c r="BG2045" s="7" t="s">
        <v>1242</v>
      </c>
    </row>
    <row r="2046" spans="1:59" ht="126" x14ac:dyDescent="0.45">
      <c r="A2046" s="5">
        <v>2045</v>
      </c>
      <c r="B2046" s="1" t="s">
        <v>11212</v>
      </c>
      <c r="C2046" s="6"/>
      <c r="E2046" s="1"/>
      <c r="F2046" s="1"/>
      <c r="G2046" s="1"/>
      <c r="J2046" s="1" t="s">
        <v>7559</v>
      </c>
      <c r="K2046" s="2" t="s">
        <v>10456</v>
      </c>
      <c r="P2046" s="7" t="s">
        <v>1241</v>
      </c>
      <c r="AV2046" s="1" t="s">
        <v>38</v>
      </c>
      <c r="BG2046" s="7" t="s">
        <v>1242</v>
      </c>
    </row>
    <row r="2047" spans="1:59" ht="126" x14ac:dyDescent="0.45">
      <c r="A2047" s="5">
        <v>2046</v>
      </c>
      <c r="B2047" s="1" t="s">
        <v>11768</v>
      </c>
      <c r="C2047" s="6"/>
      <c r="E2047" s="1"/>
      <c r="F2047" s="1"/>
      <c r="G2047" s="1"/>
      <c r="J2047" s="1" t="s">
        <v>7559</v>
      </c>
      <c r="K2047" s="2" t="s">
        <v>11769</v>
      </c>
      <c r="P2047" s="7" t="s">
        <v>1241</v>
      </c>
      <c r="AV2047" s="1" t="s">
        <v>38</v>
      </c>
      <c r="BG2047" s="7" t="s">
        <v>1242</v>
      </c>
    </row>
    <row r="2048" spans="1:59" ht="126" x14ac:dyDescent="0.45">
      <c r="A2048" s="5">
        <v>2047</v>
      </c>
      <c r="B2048" s="1" t="s">
        <v>11213</v>
      </c>
      <c r="C2048" s="6"/>
      <c r="E2048" s="1"/>
      <c r="F2048" s="1"/>
      <c r="G2048" s="1"/>
      <c r="J2048" s="1" t="s">
        <v>7559</v>
      </c>
      <c r="K2048" s="2" t="s">
        <v>10457</v>
      </c>
      <c r="P2048" s="7" t="s">
        <v>1241</v>
      </c>
      <c r="AV2048" s="1" t="s">
        <v>38</v>
      </c>
      <c r="BG2048" s="7" t="s">
        <v>1242</v>
      </c>
    </row>
    <row r="2049" spans="1:59" ht="234" x14ac:dyDescent="0.45">
      <c r="A2049" s="5">
        <v>2048</v>
      </c>
      <c r="B2049" s="1" t="s">
        <v>11214</v>
      </c>
      <c r="C2049" s="6"/>
      <c r="E2049" s="1"/>
      <c r="F2049" s="1"/>
      <c r="G2049" s="1"/>
      <c r="J2049" s="1" t="s">
        <v>7559</v>
      </c>
      <c r="K2049" s="2" t="s">
        <v>10458</v>
      </c>
      <c r="P2049" s="7" t="s">
        <v>1241</v>
      </c>
      <c r="AV2049" s="1" t="s">
        <v>38</v>
      </c>
      <c r="BG2049" s="7" t="s">
        <v>1242</v>
      </c>
    </row>
    <row r="2050" spans="1:59" ht="234" x14ac:dyDescent="0.45">
      <c r="A2050" s="5">
        <v>2049</v>
      </c>
      <c r="B2050" s="1" t="s">
        <v>11215</v>
      </c>
      <c r="C2050" s="6"/>
      <c r="E2050" s="1"/>
      <c r="F2050" s="1"/>
      <c r="G2050" s="1"/>
      <c r="J2050" s="1" t="s">
        <v>7559</v>
      </c>
      <c r="K2050" s="2" t="s">
        <v>10459</v>
      </c>
      <c r="P2050" s="7" t="s">
        <v>1241</v>
      </c>
      <c r="AV2050" s="1" t="s">
        <v>38</v>
      </c>
      <c r="BG2050" s="7" t="s">
        <v>1242</v>
      </c>
    </row>
    <row r="2051" spans="1:59" ht="198" x14ac:dyDescent="0.45">
      <c r="A2051" s="5">
        <v>2050</v>
      </c>
      <c r="B2051" s="1" t="s">
        <v>11216</v>
      </c>
      <c r="C2051" s="6"/>
      <c r="E2051" s="1"/>
      <c r="F2051" s="1"/>
      <c r="G2051" s="1"/>
      <c r="J2051" s="1" t="s">
        <v>7559</v>
      </c>
      <c r="K2051" s="2" t="s">
        <v>10690</v>
      </c>
      <c r="P2051" s="7" t="s">
        <v>1241</v>
      </c>
      <c r="AV2051" s="1" t="s">
        <v>38</v>
      </c>
      <c r="BG2051" s="7" t="s">
        <v>1242</v>
      </c>
    </row>
    <row r="2052" spans="1:59" ht="270" x14ac:dyDescent="0.45">
      <c r="A2052" s="5">
        <v>2051</v>
      </c>
      <c r="B2052" s="1" t="s">
        <v>11217</v>
      </c>
      <c r="C2052" s="6"/>
      <c r="E2052" s="1"/>
      <c r="F2052" s="1"/>
      <c r="G2052" s="1"/>
      <c r="J2052" s="1" t="s">
        <v>7559</v>
      </c>
      <c r="K2052" s="11" t="s">
        <v>12028</v>
      </c>
      <c r="P2052" s="7" t="s">
        <v>1241</v>
      </c>
      <c r="AV2052" s="1" t="s">
        <v>38</v>
      </c>
      <c r="BG2052" s="7" t="s">
        <v>1242</v>
      </c>
    </row>
    <row r="2053" spans="1:59" ht="360" x14ac:dyDescent="0.45">
      <c r="A2053" s="5">
        <v>2052</v>
      </c>
      <c r="B2053" s="1" t="s">
        <v>11218</v>
      </c>
      <c r="C2053" s="6"/>
      <c r="E2053" s="1"/>
      <c r="F2053" s="1"/>
      <c r="G2053" s="1"/>
      <c r="J2053" s="1" t="s">
        <v>7559</v>
      </c>
      <c r="K2053" s="2" t="s">
        <v>10460</v>
      </c>
      <c r="P2053" s="7" t="s">
        <v>1241</v>
      </c>
      <c r="AV2053" s="1" t="s">
        <v>38</v>
      </c>
      <c r="BG2053" s="7" t="s">
        <v>1242</v>
      </c>
    </row>
    <row r="2054" spans="1:59" ht="216" x14ac:dyDescent="0.45">
      <c r="A2054" s="5">
        <v>2053</v>
      </c>
      <c r="B2054" s="1" t="s">
        <v>11219</v>
      </c>
      <c r="C2054" s="6"/>
      <c r="E2054" s="1"/>
      <c r="F2054" s="1"/>
      <c r="G2054" s="1"/>
      <c r="J2054" s="1" t="s">
        <v>7559</v>
      </c>
      <c r="K2054" s="2" t="s">
        <v>10461</v>
      </c>
      <c r="P2054" s="7" t="s">
        <v>1241</v>
      </c>
      <c r="AV2054" s="1" t="s">
        <v>38</v>
      </c>
      <c r="BG2054" s="7" t="s">
        <v>1242</v>
      </c>
    </row>
    <row r="2055" spans="1:59" ht="252" x14ac:dyDescent="0.45">
      <c r="A2055" s="5">
        <v>2054</v>
      </c>
      <c r="B2055" s="1" t="s">
        <v>11220</v>
      </c>
      <c r="C2055" s="6"/>
      <c r="E2055" s="1"/>
      <c r="F2055" s="1"/>
      <c r="G2055" s="1"/>
      <c r="J2055" s="1" t="s">
        <v>7559</v>
      </c>
      <c r="K2055" s="2" t="s">
        <v>10462</v>
      </c>
      <c r="P2055" s="7" t="s">
        <v>1241</v>
      </c>
      <c r="AV2055" s="1" t="s">
        <v>38</v>
      </c>
      <c r="BG2055" s="7" t="s">
        <v>1242</v>
      </c>
    </row>
    <row r="2056" spans="1:59" ht="288" x14ac:dyDescent="0.45">
      <c r="A2056" s="5">
        <v>2055</v>
      </c>
      <c r="B2056" s="1" t="s">
        <v>11221</v>
      </c>
      <c r="C2056" s="6"/>
      <c r="E2056" s="1"/>
      <c r="F2056" s="1"/>
      <c r="G2056" s="1"/>
      <c r="J2056" s="1" t="s">
        <v>7559</v>
      </c>
      <c r="K2056" s="2" t="s">
        <v>10463</v>
      </c>
      <c r="P2056" s="7" t="s">
        <v>1241</v>
      </c>
      <c r="AV2056" s="1" t="s">
        <v>38</v>
      </c>
      <c r="BG2056" s="7" t="s">
        <v>1242</v>
      </c>
    </row>
    <row r="2057" spans="1:59" ht="216" x14ac:dyDescent="0.45">
      <c r="A2057" s="5">
        <v>2056</v>
      </c>
      <c r="B2057" s="1" t="s">
        <v>11222</v>
      </c>
      <c r="C2057" s="6"/>
      <c r="E2057" s="1"/>
      <c r="F2057" s="1"/>
      <c r="G2057" s="1"/>
      <c r="J2057" s="1" t="s">
        <v>7559</v>
      </c>
      <c r="K2057" s="2" t="s">
        <v>10464</v>
      </c>
      <c r="P2057" s="7" t="s">
        <v>1241</v>
      </c>
      <c r="AV2057" s="1" t="s">
        <v>38</v>
      </c>
      <c r="BG2057" s="7" t="s">
        <v>1242</v>
      </c>
    </row>
    <row r="2058" spans="1:59" ht="324" x14ac:dyDescent="0.45">
      <c r="A2058" s="5">
        <v>2057</v>
      </c>
      <c r="B2058" s="1" t="s">
        <v>11223</v>
      </c>
      <c r="C2058" s="6"/>
      <c r="E2058" s="1"/>
      <c r="F2058" s="1"/>
      <c r="G2058" s="1"/>
      <c r="J2058" s="1" t="s">
        <v>7559</v>
      </c>
      <c r="K2058" s="2" t="s">
        <v>10465</v>
      </c>
      <c r="P2058" s="7" t="s">
        <v>1241</v>
      </c>
      <c r="AV2058" s="1" t="s">
        <v>38</v>
      </c>
      <c r="BG2058" s="7" t="s">
        <v>1242</v>
      </c>
    </row>
    <row r="2059" spans="1:59" ht="324" x14ac:dyDescent="0.45">
      <c r="A2059" s="5">
        <v>2058</v>
      </c>
      <c r="B2059" s="1" t="s">
        <v>11224</v>
      </c>
      <c r="C2059" s="6"/>
      <c r="E2059" s="1"/>
      <c r="F2059" s="1"/>
      <c r="G2059" s="1"/>
      <c r="J2059" s="1" t="s">
        <v>7559</v>
      </c>
      <c r="K2059" s="2" t="s">
        <v>10466</v>
      </c>
      <c r="P2059" s="7" t="s">
        <v>1241</v>
      </c>
      <c r="AV2059" s="1" t="s">
        <v>38</v>
      </c>
      <c r="BG2059" s="7" t="s">
        <v>1242</v>
      </c>
    </row>
    <row r="2060" spans="1:59" ht="342" x14ac:dyDescent="0.45">
      <c r="A2060" s="5">
        <v>2059</v>
      </c>
      <c r="B2060" s="1" t="s">
        <v>11225</v>
      </c>
      <c r="C2060" s="6"/>
      <c r="E2060" s="1"/>
      <c r="F2060" s="1"/>
      <c r="G2060" s="1"/>
      <c r="J2060" s="1" t="s">
        <v>7559</v>
      </c>
      <c r="K2060" s="11" t="s">
        <v>12029</v>
      </c>
      <c r="P2060" s="7" t="s">
        <v>1241</v>
      </c>
      <c r="AV2060" s="1" t="s">
        <v>38</v>
      </c>
      <c r="BG2060" s="7" t="s">
        <v>1242</v>
      </c>
    </row>
    <row r="2061" spans="1:59" ht="288" x14ac:dyDescent="0.45">
      <c r="A2061" s="5">
        <v>2060</v>
      </c>
      <c r="B2061" s="1" t="s">
        <v>11226</v>
      </c>
      <c r="C2061" s="6"/>
      <c r="E2061" s="1"/>
      <c r="F2061" s="1"/>
      <c r="G2061" s="1"/>
      <c r="J2061" s="1" t="s">
        <v>7559</v>
      </c>
      <c r="K2061" s="11" t="s">
        <v>12030</v>
      </c>
      <c r="P2061" s="7" t="s">
        <v>1241</v>
      </c>
      <c r="AV2061" s="1" t="s">
        <v>38</v>
      </c>
      <c r="BG2061" s="7" t="s">
        <v>1242</v>
      </c>
    </row>
    <row r="2062" spans="1:59" ht="270" x14ac:dyDescent="0.45">
      <c r="A2062" s="5">
        <v>2061</v>
      </c>
      <c r="B2062" s="1" t="s">
        <v>11227</v>
      </c>
      <c r="C2062" s="6"/>
      <c r="E2062" s="1"/>
      <c r="F2062" s="1"/>
      <c r="G2062" s="1"/>
      <c r="J2062" s="1" t="s">
        <v>7559</v>
      </c>
      <c r="K2062" s="2" t="s">
        <v>10473</v>
      </c>
      <c r="P2062" s="7" t="s">
        <v>1241</v>
      </c>
      <c r="AV2062" s="1" t="s">
        <v>38</v>
      </c>
      <c r="BG2062" s="7" t="s">
        <v>1242</v>
      </c>
    </row>
    <row r="2063" spans="1:59" ht="288" x14ac:dyDescent="0.45">
      <c r="A2063" s="5">
        <v>2062</v>
      </c>
      <c r="B2063" s="1" t="s">
        <v>11228</v>
      </c>
      <c r="C2063" s="6"/>
      <c r="E2063" s="1"/>
      <c r="F2063" s="1"/>
      <c r="G2063" s="1"/>
      <c r="J2063" s="1" t="s">
        <v>7559</v>
      </c>
      <c r="K2063" s="11" t="s">
        <v>12031</v>
      </c>
      <c r="P2063" s="7" t="s">
        <v>1241</v>
      </c>
      <c r="AV2063" s="1" t="s">
        <v>38</v>
      </c>
      <c r="BG2063" s="7" t="s">
        <v>1242</v>
      </c>
    </row>
    <row r="2064" spans="1:59" ht="252" x14ac:dyDescent="0.45">
      <c r="A2064" s="5">
        <v>2063</v>
      </c>
      <c r="B2064" s="1" t="s">
        <v>11229</v>
      </c>
      <c r="C2064" s="6"/>
      <c r="E2064" s="1"/>
      <c r="F2064" s="1"/>
      <c r="G2064" s="1"/>
      <c r="J2064" s="1" t="s">
        <v>7559</v>
      </c>
      <c r="K2064" s="11" t="s">
        <v>12032</v>
      </c>
      <c r="P2064" s="7" t="s">
        <v>1241</v>
      </c>
      <c r="AV2064" s="1" t="s">
        <v>38</v>
      </c>
      <c r="BG2064" s="7" t="s">
        <v>1242</v>
      </c>
    </row>
    <row r="2065" spans="1:59" ht="126" x14ac:dyDescent="0.45">
      <c r="A2065" s="5">
        <v>2064</v>
      </c>
      <c r="B2065" s="1" t="s">
        <v>11230</v>
      </c>
      <c r="C2065" s="6"/>
      <c r="E2065" s="1"/>
      <c r="F2065" s="1"/>
      <c r="G2065" s="1"/>
      <c r="J2065" s="1" t="s">
        <v>7559</v>
      </c>
      <c r="K2065" s="2" t="s">
        <v>10474</v>
      </c>
      <c r="P2065" s="7" t="s">
        <v>1241</v>
      </c>
      <c r="AV2065" s="1" t="s">
        <v>38</v>
      </c>
      <c r="BG2065" s="7" t="s">
        <v>1242</v>
      </c>
    </row>
    <row r="2066" spans="1:59" ht="360" x14ac:dyDescent="0.45">
      <c r="A2066" s="5">
        <v>2065</v>
      </c>
      <c r="B2066" s="1" t="s">
        <v>11231</v>
      </c>
      <c r="C2066" s="6"/>
      <c r="E2066" s="1"/>
      <c r="F2066" s="1"/>
      <c r="G2066" s="1"/>
      <c r="J2066" s="1" t="s">
        <v>7559</v>
      </c>
      <c r="K2066" s="11" t="s">
        <v>12033</v>
      </c>
      <c r="P2066" s="7" t="s">
        <v>1241</v>
      </c>
      <c r="AV2066" s="1" t="s">
        <v>38</v>
      </c>
      <c r="BG2066" s="7" t="s">
        <v>1242</v>
      </c>
    </row>
    <row r="2067" spans="1:59" ht="252" x14ac:dyDescent="0.45">
      <c r="A2067" s="5">
        <v>2066</v>
      </c>
      <c r="B2067" s="1" t="s">
        <v>11232</v>
      </c>
      <c r="C2067" s="6"/>
      <c r="E2067" s="1"/>
      <c r="F2067" s="1"/>
      <c r="G2067" s="1"/>
      <c r="J2067" s="1" t="s">
        <v>7559</v>
      </c>
      <c r="K2067" s="11" t="s">
        <v>12034</v>
      </c>
      <c r="P2067" s="7" t="s">
        <v>1241</v>
      </c>
      <c r="AV2067" s="1" t="s">
        <v>38</v>
      </c>
      <c r="BG2067" s="7" t="s">
        <v>1242</v>
      </c>
    </row>
    <row r="2068" spans="1:59" ht="90" x14ac:dyDescent="0.45">
      <c r="A2068" s="5">
        <v>2067</v>
      </c>
      <c r="B2068" s="1" t="s">
        <v>11233</v>
      </c>
      <c r="C2068" s="6"/>
      <c r="E2068" s="1"/>
      <c r="F2068" s="1"/>
      <c r="G2068" s="1"/>
      <c r="J2068" s="1" t="s">
        <v>7559</v>
      </c>
      <c r="K2068" s="2" t="s">
        <v>10475</v>
      </c>
      <c r="P2068" s="7" t="s">
        <v>1241</v>
      </c>
      <c r="AV2068" s="1" t="s">
        <v>38</v>
      </c>
      <c r="BG2068" s="7" t="s">
        <v>1242</v>
      </c>
    </row>
    <row r="2069" spans="1:59" ht="90" x14ac:dyDescent="0.45">
      <c r="A2069" s="5">
        <v>2068</v>
      </c>
      <c r="B2069" s="1" t="s">
        <v>11234</v>
      </c>
      <c r="C2069" s="6"/>
      <c r="E2069" s="1"/>
      <c r="F2069" s="1"/>
      <c r="G2069" s="1"/>
      <c r="J2069" s="1" t="s">
        <v>7559</v>
      </c>
      <c r="K2069" s="2" t="s">
        <v>10476</v>
      </c>
      <c r="P2069" s="7" t="s">
        <v>1241</v>
      </c>
      <c r="AV2069" s="1" t="s">
        <v>38</v>
      </c>
      <c r="BG2069" s="7" t="s">
        <v>1242</v>
      </c>
    </row>
    <row r="2070" spans="1:59" ht="342" x14ac:dyDescent="0.45">
      <c r="A2070" s="5">
        <v>2069</v>
      </c>
      <c r="B2070" s="1" t="s">
        <v>11235</v>
      </c>
      <c r="C2070" s="6"/>
      <c r="E2070" s="1"/>
      <c r="F2070" s="1"/>
      <c r="G2070" s="1"/>
      <c r="J2070" s="1" t="s">
        <v>7559</v>
      </c>
      <c r="K2070" s="11" t="s">
        <v>12035</v>
      </c>
      <c r="P2070" s="7" t="s">
        <v>1241</v>
      </c>
      <c r="AV2070" s="1" t="s">
        <v>38</v>
      </c>
      <c r="BG2070" s="7" t="s">
        <v>1242</v>
      </c>
    </row>
    <row r="2071" spans="1:59" ht="360" x14ac:dyDescent="0.45">
      <c r="A2071" s="5">
        <v>2070</v>
      </c>
      <c r="B2071" s="1" t="s">
        <v>11236</v>
      </c>
      <c r="C2071" s="6"/>
      <c r="E2071" s="1"/>
      <c r="F2071" s="1"/>
      <c r="G2071" s="1"/>
      <c r="J2071" s="1" t="s">
        <v>7559</v>
      </c>
      <c r="K2071" s="2" t="s">
        <v>10477</v>
      </c>
      <c r="P2071" s="7" t="s">
        <v>1241</v>
      </c>
      <c r="AV2071" s="1" t="s">
        <v>38</v>
      </c>
      <c r="BG2071" s="7" t="s">
        <v>1242</v>
      </c>
    </row>
    <row r="2072" spans="1:59" ht="342" x14ac:dyDescent="0.45">
      <c r="A2072" s="5">
        <v>2071</v>
      </c>
      <c r="B2072" s="1" t="s">
        <v>11237</v>
      </c>
      <c r="C2072" s="6"/>
      <c r="E2072" s="1"/>
      <c r="F2072" s="1"/>
      <c r="G2072" s="1"/>
      <c r="J2072" s="1" t="s">
        <v>7559</v>
      </c>
      <c r="K2072" s="2" t="s">
        <v>10478</v>
      </c>
      <c r="P2072" s="7" t="s">
        <v>1241</v>
      </c>
      <c r="AV2072" s="1" t="s">
        <v>38</v>
      </c>
      <c r="BG2072" s="7" t="s">
        <v>1242</v>
      </c>
    </row>
    <row r="2073" spans="1:59" ht="288" x14ac:dyDescent="0.45">
      <c r="A2073" s="5">
        <v>2072</v>
      </c>
      <c r="B2073" s="1" t="s">
        <v>11758</v>
      </c>
      <c r="C2073" s="6"/>
      <c r="E2073" s="1"/>
      <c r="F2073" s="1"/>
      <c r="G2073" s="1"/>
      <c r="J2073" s="1" t="s">
        <v>7559</v>
      </c>
      <c r="K2073" s="2" t="s">
        <v>11759</v>
      </c>
      <c r="P2073" s="7" t="s">
        <v>1241</v>
      </c>
      <c r="AV2073" s="1" t="s">
        <v>38</v>
      </c>
      <c r="BG2073" s="7" t="s">
        <v>1242</v>
      </c>
    </row>
    <row r="2074" spans="1:59" ht="198" x14ac:dyDescent="0.45">
      <c r="A2074" s="5">
        <v>2073</v>
      </c>
      <c r="B2074" s="1" t="s">
        <v>11238</v>
      </c>
      <c r="C2074" s="6"/>
      <c r="E2074" s="1"/>
      <c r="F2074" s="1"/>
      <c r="G2074" s="1"/>
      <c r="J2074" s="1" t="s">
        <v>7559</v>
      </c>
      <c r="K2074" s="2" t="s">
        <v>10479</v>
      </c>
      <c r="P2074" s="7" t="s">
        <v>1241</v>
      </c>
      <c r="AV2074" s="1" t="s">
        <v>38</v>
      </c>
      <c r="BG2074" s="7" t="s">
        <v>1242</v>
      </c>
    </row>
    <row r="2075" spans="1:59" ht="180" x14ac:dyDescent="0.45">
      <c r="A2075" s="5">
        <v>2074</v>
      </c>
      <c r="B2075" s="1" t="s">
        <v>11239</v>
      </c>
      <c r="C2075" s="6"/>
      <c r="E2075" s="1"/>
      <c r="F2075" s="1"/>
      <c r="G2075" s="1"/>
      <c r="J2075" s="1" t="s">
        <v>7559</v>
      </c>
      <c r="K2075" s="2" t="s">
        <v>11760</v>
      </c>
      <c r="P2075" s="7" t="s">
        <v>1241</v>
      </c>
      <c r="AV2075" s="1" t="s">
        <v>38</v>
      </c>
      <c r="BG2075" s="7" t="s">
        <v>1242</v>
      </c>
    </row>
    <row r="2076" spans="1:59" ht="162" x14ac:dyDescent="0.45">
      <c r="A2076" s="5">
        <v>2075</v>
      </c>
      <c r="B2076" s="1" t="s">
        <v>11240</v>
      </c>
      <c r="C2076" s="6"/>
      <c r="E2076" s="1"/>
      <c r="F2076" s="1"/>
      <c r="G2076" s="1"/>
      <c r="J2076" s="1" t="s">
        <v>7559</v>
      </c>
      <c r="K2076" s="2" t="s">
        <v>10480</v>
      </c>
      <c r="P2076" s="7" t="s">
        <v>1241</v>
      </c>
      <c r="AV2076" s="1" t="s">
        <v>38</v>
      </c>
      <c r="BG2076" s="7" t="s">
        <v>1242</v>
      </c>
    </row>
    <row r="2077" spans="1:59" ht="180" x14ac:dyDescent="0.45">
      <c r="A2077" s="5">
        <v>2076</v>
      </c>
      <c r="B2077" s="1" t="s">
        <v>11241</v>
      </c>
      <c r="C2077" s="6"/>
      <c r="E2077" s="1"/>
      <c r="F2077" s="1"/>
      <c r="G2077" s="1"/>
      <c r="J2077" s="1" t="s">
        <v>7559</v>
      </c>
      <c r="K2077" s="2" t="s">
        <v>11729</v>
      </c>
      <c r="P2077" s="7" t="s">
        <v>1241</v>
      </c>
      <c r="AV2077" s="1" t="s">
        <v>38</v>
      </c>
      <c r="BG2077" s="7" t="s">
        <v>1242</v>
      </c>
    </row>
    <row r="2078" spans="1:59" ht="216" x14ac:dyDescent="0.45">
      <c r="A2078" s="5">
        <v>2077</v>
      </c>
      <c r="B2078" s="1" t="s">
        <v>11242</v>
      </c>
      <c r="C2078" s="6"/>
      <c r="E2078" s="1"/>
      <c r="F2078" s="1"/>
      <c r="G2078" s="1"/>
      <c r="J2078" s="1" t="s">
        <v>7559</v>
      </c>
      <c r="K2078" s="11" t="s">
        <v>12036</v>
      </c>
      <c r="P2078" s="7" t="s">
        <v>1241</v>
      </c>
      <c r="AV2078" s="1" t="s">
        <v>38</v>
      </c>
      <c r="BG2078" s="7" t="s">
        <v>1242</v>
      </c>
    </row>
    <row r="2079" spans="1:59" ht="144" x14ac:dyDescent="0.45">
      <c r="A2079" s="5">
        <v>2078</v>
      </c>
      <c r="B2079" s="1" t="s">
        <v>11243</v>
      </c>
      <c r="C2079" s="6"/>
      <c r="E2079" s="1"/>
      <c r="F2079" s="1"/>
      <c r="G2079" s="1"/>
      <c r="J2079" s="1" t="s">
        <v>7559</v>
      </c>
      <c r="K2079" s="2" t="s">
        <v>10481</v>
      </c>
      <c r="P2079" s="7" t="s">
        <v>1241</v>
      </c>
      <c r="AV2079" s="1" t="s">
        <v>38</v>
      </c>
      <c r="BG2079" s="7" t="s">
        <v>1242</v>
      </c>
    </row>
    <row r="2080" spans="1:59" ht="409.6" x14ac:dyDescent="0.45">
      <c r="A2080" s="5">
        <v>2079</v>
      </c>
      <c r="B2080" s="1" t="s">
        <v>11244</v>
      </c>
      <c r="C2080" s="6"/>
      <c r="E2080" s="1"/>
      <c r="F2080" s="1"/>
      <c r="G2080" s="1"/>
      <c r="J2080" s="1" t="s">
        <v>7559</v>
      </c>
      <c r="K2080" s="11" t="s">
        <v>12037</v>
      </c>
      <c r="P2080" s="7" t="s">
        <v>1241</v>
      </c>
      <c r="AV2080" s="1" t="s">
        <v>38</v>
      </c>
      <c r="BG2080" s="7" t="s">
        <v>1242</v>
      </c>
    </row>
    <row r="2081" spans="1:59" ht="180" x14ac:dyDescent="0.45">
      <c r="A2081" s="5">
        <v>2080</v>
      </c>
      <c r="B2081" s="1" t="s">
        <v>11245</v>
      </c>
      <c r="C2081" s="6"/>
      <c r="E2081" s="1"/>
      <c r="F2081" s="1"/>
      <c r="G2081" s="1"/>
      <c r="J2081" s="1" t="s">
        <v>7559</v>
      </c>
      <c r="K2081" s="2" t="s">
        <v>10482</v>
      </c>
      <c r="P2081" s="7" t="s">
        <v>1241</v>
      </c>
      <c r="AV2081" s="1" t="s">
        <v>38</v>
      </c>
      <c r="BG2081" s="7" t="s">
        <v>1242</v>
      </c>
    </row>
    <row r="2082" spans="1:59" ht="216" x14ac:dyDescent="0.45">
      <c r="A2082" s="5">
        <v>2081</v>
      </c>
      <c r="B2082" s="1" t="s">
        <v>11246</v>
      </c>
      <c r="C2082" s="6"/>
      <c r="E2082" s="1"/>
      <c r="F2082" s="1"/>
      <c r="G2082" s="1"/>
      <c r="J2082" s="1" t="s">
        <v>7559</v>
      </c>
      <c r="K2082" s="2" t="s">
        <v>10483</v>
      </c>
      <c r="P2082" s="7" t="s">
        <v>1241</v>
      </c>
      <c r="AV2082" s="1" t="s">
        <v>38</v>
      </c>
      <c r="BG2082" s="7" t="s">
        <v>1242</v>
      </c>
    </row>
    <row r="2083" spans="1:59" ht="409.6" x14ac:dyDescent="0.45">
      <c r="A2083" s="5">
        <v>2082</v>
      </c>
      <c r="B2083" s="1" t="s">
        <v>11247</v>
      </c>
      <c r="C2083" s="6"/>
      <c r="E2083" s="1"/>
      <c r="F2083" s="1"/>
      <c r="G2083" s="1"/>
      <c r="J2083" s="1" t="s">
        <v>7559</v>
      </c>
      <c r="K2083" s="2" t="s">
        <v>10484</v>
      </c>
      <c r="P2083" s="7" t="s">
        <v>1241</v>
      </c>
      <c r="AV2083" s="1" t="s">
        <v>38</v>
      </c>
      <c r="BG2083" s="7" t="s">
        <v>1242</v>
      </c>
    </row>
    <row r="2084" spans="1:59" ht="360" x14ac:dyDescent="0.45">
      <c r="A2084" s="5">
        <v>2083</v>
      </c>
      <c r="B2084" s="1" t="s">
        <v>11248</v>
      </c>
      <c r="C2084" s="6"/>
      <c r="E2084" s="1"/>
      <c r="F2084" s="1"/>
      <c r="G2084" s="1"/>
      <c r="J2084" s="1" t="s">
        <v>7559</v>
      </c>
      <c r="K2084" s="2" t="s">
        <v>10485</v>
      </c>
      <c r="P2084" s="7" t="s">
        <v>1241</v>
      </c>
      <c r="AV2084" s="1" t="s">
        <v>38</v>
      </c>
      <c r="BG2084" s="7" t="s">
        <v>1242</v>
      </c>
    </row>
    <row r="2085" spans="1:59" ht="252" x14ac:dyDescent="0.45">
      <c r="A2085" s="5">
        <v>2084</v>
      </c>
      <c r="B2085" s="1" t="s">
        <v>11249</v>
      </c>
      <c r="C2085" s="6"/>
      <c r="E2085" s="1"/>
      <c r="F2085" s="1"/>
      <c r="G2085" s="1"/>
      <c r="J2085" s="1" t="s">
        <v>7559</v>
      </c>
      <c r="K2085" s="11" t="s">
        <v>12038</v>
      </c>
      <c r="P2085" s="7" t="s">
        <v>1241</v>
      </c>
      <c r="AV2085" s="1" t="s">
        <v>38</v>
      </c>
      <c r="BG2085" s="7" t="s">
        <v>1242</v>
      </c>
    </row>
    <row r="2086" spans="1:59" ht="126" x14ac:dyDescent="0.45">
      <c r="A2086" s="5">
        <v>2085</v>
      </c>
      <c r="B2086" s="1" t="s">
        <v>11250</v>
      </c>
      <c r="C2086" s="6"/>
      <c r="E2086" s="1"/>
      <c r="F2086" s="1"/>
      <c r="G2086" s="1"/>
      <c r="J2086" s="1" t="s">
        <v>7559</v>
      </c>
      <c r="K2086" s="2" t="s">
        <v>10486</v>
      </c>
      <c r="P2086" s="7" t="s">
        <v>1241</v>
      </c>
      <c r="AV2086" s="1" t="s">
        <v>38</v>
      </c>
      <c r="BG2086" s="7" t="s">
        <v>1242</v>
      </c>
    </row>
    <row r="2087" spans="1:59" ht="378" x14ac:dyDescent="0.45">
      <c r="A2087" s="5">
        <v>2086</v>
      </c>
      <c r="B2087" s="1" t="s">
        <v>11251</v>
      </c>
      <c r="C2087" s="6"/>
      <c r="E2087" s="1"/>
      <c r="F2087" s="1"/>
      <c r="G2087" s="1"/>
      <c r="J2087" s="1" t="s">
        <v>7559</v>
      </c>
      <c r="K2087" s="2" t="s">
        <v>10487</v>
      </c>
      <c r="P2087" s="7" t="s">
        <v>1241</v>
      </c>
      <c r="AV2087" s="1" t="s">
        <v>38</v>
      </c>
      <c r="BG2087" s="7" t="s">
        <v>1242</v>
      </c>
    </row>
    <row r="2088" spans="1:59" ht="90" x14ac:dyDescent="0.45">
      <c r="A2088" s="5">
        <v>2087</v>
      </c>
      <c r="B2088" s="1" t="s">
        <v>11252</v>
      </c>
      <c r="C2088" s="6"/>
      <c r="E2088" s="1"/>
      <c r="F2088" s="1"/>
      <c r="G2088" s="1"/>
      <c r="J2088" s="1" t="s">
        <v>7559</v>
      </c>
      <c r="K2088" s="2" t="s">
        <v>10488</v>
      </c>
      <c r="P2088" s="7" t="s">
        <v>1241</v>
      </c>
      <c r="AV2088" s="1" t="s">
        <v>38</v>
      </c>
      <c r="BG2088" s="7" t="s">
        <v>1242</v>
      </c>
    </row>
    <row r="2089" spans="1:59" ht="252" x14ac:dyDescent="0.45">
      <c r="A2089" s="5">
        <v>2088</v>
      </c>
      <c r="B2089" s="1" t="s">
        <v>11253</v>
      </c>
      <c r="C2089" s="6"/>
      <c r="E2089" s="1"/>
      <c r="F2089" s="1"/>
      <c r="G2089" s="1"/>
      <c r="J2089" s="1" t="s">
        <v>7559</v>
      </c>
      <c r="K2089" s="11" t="s">
        <v>12039</v>
      </c>
      <c r="P2089" s="7" t="s">
        <v>1241</v>
      </c>
      <c r="AV2089" s="1" t="s">
        <v>38</v>
      </c>
      <c r="BG2089" s="7" t="s">
        <v>1242</v>
      </c>
    </row>
    <row r="2090" spans="1:59" ht="126" x14ac:dyDescent="0.45">
      <c r="A2090" s="5">
        <v>2089</v>
      </c>
      <c r="B2090" s="1" t="s">
        <v>11254</v>
      </c>
      <c r="C2090" s="6"/>
      <c r="E2090" s="1"/>
      <c r="F2090" s="1"/>
      <c r="G2090" s="1"/>
      <c r="J2090" s="1" t="s">
        <v>7559</v>
      </c>
      <c r="K2090" s="2" t="s">
        <v>10489</v>
      </c>
      <c r="P2090" s="7" t="s">
        <v>1241</v>
      </c>
      <c r="AV2090" s="1" t="s">
        <v>38</v>
      </c>
      <c r="BG2090" s="7" t="s">
        <v>1242</v>
      </c>
    </row>
    <row r="2091" spans="1:59" ht="234" x14ac:dyDescent="0.45">
      <c r="A2091" s="5">
        <v>2090</v>
      </c>
      <c r="B2091" s="1" t="s">
        <v>11255</v>
      </c>
      <c r="C2091" s="6"/>
      <c r="E2091" s="1"/>
      <c r="F2091" s="1"/>
      <c r="G2091" s="1"/>
      <c r="J2091" s="1" t="s">
        <v>7559</v>
      </c>
      <c r="K2091" s="2" t="s">
        <v>10490</v>
      </c>
      <c r="P2091" s="7" t="s">
        <v>1241</v>
      </c>
      <c r="AV2091" s="1" t="s">
        <v>38</v>
      </c>
      <c r="BG2091" s="7" t="s">
        <v>1242</v>
      </c>
    </row>
    <row r="2092" spans="1:59" ht="90" x14ac:dyDescent="0.45">
      <c r="A2092" s="5">
        <v>2091</v>
      </c>
      <c r="B2092" s="1" t="s">
        <v>11256</v>
      </c>
      <c r="C2092" s="6"/>
      <c r="E2092" s="1"/>
      <c r="F2092" s="1"/>
      <c r="G2092" s="1"/>
      <c r="J2092" s="1" t="s">
        <v>7559</v>
      </c>
      <c r="K2092" s="2" t="s">
        <v>10491</v>
      </c>
      <c r="P2092" s="7" t="s">
        <v>1241</v>
      </c>
      <c r="AV2092" s="1" t="s">
        <v>38</v>
      </c>
      <c r="BG2092" s="7" t="s">
        <v>1242</v>
      </c>
    </row>
    <row r="2093" spans="1:59" ht="306" x14ac:dyDescent="0.45">
      <c r="A2093" s="5">
        <v>2092</v>
      </c>
      <c r="B2093" s="1" t="s">
        <v>11257</v>
      </c>
      <c r="C2093" s="6"/>
      <c r="E2093" s="1"/>
      <c r="F2093" s="1"/>
      <c r="G2093" s="1"/>
      <c r="J2093" s="1" t="s">
        <v>7559</v>
      </c>
      <c r="K2093" s="2" t="s">
        <v>10492</v>
      </c>
      <c r="P2093" s="7" t="s">
        <v>1241</v>
      </c>
      <c r="AV2093" s="1" t="s">
        <v>38</v>
      </c>
      <c r="BG2093" s="7" t="s">
        <v>1242</v>
      </c>
    </row>
    <row r="2094" spans="1:59" ht="252" x14ac:dyDescent="0.45">
      <c r="A2094" s="5">
        <v>2093</v>
      </c>
      <c r="B2094" s="1" t="s">
        <v>11258</v>
      </c>
      <c r="C2094" s="6"/>
      <c r="E2094" s="1"/>
      <c r="F2094" s="1"/>
      <c r="G2094" s="1"/>
      <c r="J2094" s="1" t="s">
        <v>7559</v>
      </c>
      <c r="K2094" s="2" t="s">
        <v>11761</v>
      </c>
      <c r="P2094" s="7" t="s">
        <v>1241</v>
      </c>
      <c r="AV2094" s="1" t="s">
        <v>38</v>
      </c>
      <c r="BG2094" s="7" t="s">
        <v>1242</v>
      </c>
    </row>
    <row r="2095" spans="1:59" ht="180" x14ac:dyDescent="0.45">
      <c r="A2095" s="5">
        <v>2094</v>
      </c>
      <c r="B2095" s="1" t="s">
        <v>11259</v>
      </c>
      <c r="C2095" s="6"/>
      <c r="E2095" s="1"/>
      <c r="F2095" s="1"/>
      <c r="G2095" s="1"/>
      <c r="J2095" s="1" t="s">
        <v>7559</v>
      </c>
      <c r="K2095" s="2" t="s">
        <v>10493</v>
      </c>
      <c r="P2095" s="7" t="s">
        <v>1241</v>
      </c>
      <c r="AV2095" s="1" t="s">
        <v>38</v>
      </c>
      <c r="BG2095" s="7" t="s">
        <v>1242</v>
      </c>
    </row>
    <row r="2096" spans="1:59" ht="108" x14ac:dyDescent="0.45">
      <c r="A2096" s="5">
        <v>2095</v>
      </c>
      <c r="B2096" s="1" t="s">
        <v>10494</v>
      </c>
      <c r="C2096" s="6"/>
      <c r="E2096" s="1"/>
      <c r="F2096" s="1"/>
      <c r="G2096" s="1"/>
      <c r="J2096" s="1" t="s">
        <v>7559</v>
      </c>
      <c r="K2096" s="2" t="s">
        <v>10495</v>
      </c>
      <c r="P2096" s="7" t="s">
        <v>1241</v>
      </c>
      <c r="AV2096" s="1" t="s">
        <v>38</v>
      </c>
      <c r="BG2096" s="7" t="s">
        <v>1242</v>
      </c>
    </row>
    <row r="2097" spans="1:59" ht="270" x14ac:dyDescent="0.45">
      <c r="A2097" s="5">
        <v>2096</v>
      </c>
      <c r="B2097" s="1" t="s">
        <v>11260</v>
      </c>
      <c r="C2097" s="6"/>
      <c r="E2097" s="1"/>
      <c r="F2097" s="1"/>
      <c r="G2097" s="1"/>
      <c r="J2097" s="1" t="s">
        <v>7559</v>
      </c>
      <c r="K2097" s="11" t="s">
        <v>12040</v>
      </c>
      <c r="P2097" s="7" t="s">
        <v>1241</v>
      </c>
      <c r="AV2097" s="1" t="s">
        <v>38</v>
      </c>
      <c r="BG2097" s="7" t="s">
        <v>1242</v>
      </c>
    </row>
    <row r="2098" spans="1:59" ht="144" x14ac:dyDescent="0.45">
      <c r="A2098" s="5">
        <v>2097</v>
      </c>
      <c r="B2098" s="1" t="s">
        <v>11261</v>
      </c>
      <c r="C2098" s="6"/>
      <c r="E2098" s="1"/>
      <c r="F2098" s="1"/>
      <c r="G2098" s="1"/>
      <c r="J2098" s="1" t="s">
        <v>7559</v>
      </c>
      <c r="K2098" s="2" t="s">
        <v>10497</v>
      </c>
      <c r="P2098" s="7" t="s">
        <v>1241</v>
      </c>
      <c r="AV2098" s="1" t="s">
        <v>38</v>
      </c>
      <c r="BG2098" s="7" t="s">
        <v>1242</v>
      </c>
    </row>
    <row r="2099" spans="1:59" ht="409.6" x14ac:dyDescent="0.45">
      <c r="A2099" s="5">
        <v>2098</v>
      </c>
      <c r="B2099" s="1" t="s">
        <v>11262</v>
      </c>
      <c r="C2099" s="6"/>
      <c r="E2099" s="1"/>
      <c r="F2099" s="1"/>
      <c r="G2099" s="1"/>
      <c r="J2099" s="1" t="s">
        <v>7559</v>
      </c>
      <c r="K2099" s="11" t="s">
        <v>12041</v>
      </c>
      <c r="P2099" s="7" t="s">
        <v>1241</v>
      </c>
      <c r="AV2099" s="1" t="s">
        <v>38</v>
      </c>
      <c r="BG2099" s="7" t="s">
        <v>1242</v>
      </c>
    </row>
    <row r="2100" spans="1:59" ht="234" x14ac:dyDescent="0.45">
      <c r="A2100" s="5">
        <v>2099</v>
      </c>
      <c r="B2100" s="1" t="s">
        <v>10496</v>
      </c>
      <c r="C2100" s="6"/>
      <c r="E2100" s="1"/>
      <c r="F2100" s="1"/>
      <c r="G2100" s="1"/>
      <c r="J2100" s="1" t="s">
        <v>7559</v>
      </c>
      <c r="K2100" s="2" t="s">
        <v>10498</v>
      </c>
      <c r="P2100" s="7" t="s">
        <v>1241</v>
      </c>
      <c r="AV2100" s="1" t="s">
        <v>38</v>
      </c>
      <c r="BG2100" s="7" t="s">
        <v>1242</v>
      </c>
    </row>
    <row r="2101" spans="1:59" ht="90" x14ac:dyDescent="0.45">
      <c r="A2101" s="5">
        <v>2100</v>
      </c>
      <c r="B2101" s="1" t="s">
        <v>11263</v>
      </c>
      <c r="C2101" s="6"/>
      <c r="E2101" s="1"/>
      <c r="F2101" s="1"/>
      <c r="G2101" s="1"/>
      <c r="J2101" s="1" t="s">
        <v>7559</v>
      </c>
      <c r="K2101" s="2" t="s">
        <v>10499</v>
      </c>
      <c r="P2101" s="7" t="s">
        <v>1241</v>
      </c>
      <c r="AV2101" s="1" t="s">
        <v>38</v>
      </c>
      <c r="BG2101" s="7" t="s">
        <v>1242</v>
      </c>
    </row>
    <row r="2102" spans="1:59" ht="90" x14ac:dyDescent="0.45">
      <c r="A2102" s="5">
        <v>2101</v>
      </c>
      <c r="B2102" s="1" t="s">
        <v>11264</v>
      </c>
      <c r="C2102" s="6"/>
      <c r="E2102" s="1"/>
      <c r="F2102" s="1"/>
      <c r="G2102" s="1"/>
      <c r="J2102" s="1" t="s">
        <v>7559</v>
      </c>
      <c r="K2102" s="2" t="s">
        <v>10508</v>
      </c>
      <c r="P2102" s="7" t="s">
        <v>1241</v>
      </c>
      <c r="AV2102" s="1" t="s">
        <v>38</v>
      </c>
      <c r="BG2102" s="7" t="s">
        <v>1242</v>
      </c>
    </row>
    <row r="2103" spans="1:59" ht="288" x14ac:dyDescent="0.45">
      <c r="A2103" s="5">
        <v>2102</v>
      </c>
      <c r="B2103" s="1" t="s">
        <v>11265</v>
      </c>
      <c r="C2103" s="6"/>
      <c r="E2103" s="1"/>
      <c r="F2103" s="1"/>
      <c r="G2103" s="1"/>
      <c r="J2103" s="1" t="s">
        <v>7559</v>
      </c>
      <c r="K2103" s="2" t="s">
        <v>10509</v>
      </c>
      <c r="P2103" s="7" t="s">
        <v>1241</v>
      </c>
      <c r="AV2103" s="1" t="s">
        <v>38</v>
      </c>
      <c r="BG2103" s="7" t="s">
        <v>1242</v>
      </c>
    </row>
    <row r="2104" spans="1:59" ht="288" x14ac:dyDescent="0.45">
      <c r="A2104" s="5">
        <v>2103</v>
      </c>
      <c r="B2104" s="1" t="s">
        <v>11266</v>
      </c>
      <c r="C2104" s="6"/>
      <c r="E2104" s="1"/>
      <c r="F2104" s="1"/>
      <c r="G2104" s="1"/>
      <c r="J2104" s="1" t="s">
        <v>7559</v>
      </c>
      <c r="K2104" s="2" t="s">
        <v>11762</v>
      </c>
      <c r="P2104" s="7" t="s">
        <v>1241</v>
      </c>
      <c r="AV2104" s="1" t="s">
        <v>38</v>
      </c>
      <c r="BG2104" s="7" t="s">
        <v>1242</v>
      </c>
    </row>
    <row r="2105" spans="1:59" ht="180" x14ac:dyDescent="0.45">
      <c r="A2105" s="5">
        <v>2104</v>
      </c>
      <c r="B2105" s="1" t="s">
        <v>11267</v>
      </c>
      <c r="C2105" s="6"/>
      <c r="E2105" s="1"/>
      <c r="F2105" s="1"/>
      <c r="G2105" s="1"/>
      <c r="J2105" s="1" t="s">
        <v>7559</v>
      </c>
      <c r="K2105" s="2" t="s">
        <v>10510</v>
      </c>
      <c r="P2105" s="7" t="s">
        <v>1241</v>
      </c>
      <c r="AV2105" s="1" t="s">
        <v>38</v>
      </c>
      <c r="BG2105" s="7" t="s">
        <v>1242</v>
      </c>
    </row>
    <row r="2106" spans="1:59" ht="396" x14ac:dyDescent="0.45">
      <c r="A2106" s="5">
        <v>2105</v>
      </c>
      <c r="B2106" s="1" t="s">
        <v>11268</v>
      </c>
      <c r="C2106" s="6"/>
      <c r="E2106" s="1"/>
      <c r="F2106" s="1"/>
      <c r="G2106" s="1"/>
      <c r="J2106" s="1" t="s">
        <v>7559</v>
      </c>
      <c r="K2106" s="11" t="s">
        <v>12042</v>
      </c>
      <c r="P2106" s="7" t="s">
        <v>1241</v>
      </c>
      <c r="AV2106" s="1" t="s">
        <v>38</v>
      </c>
      <c r="BG2106" s="7" t="s">
        <v>1242</v>
      </c>
    </row>
    <row r="2107" spans="1:59" ht="324" x14ac:dyDescent="0.45">
      <c r="A2107" s="5">
        <v>2106</v>
      </c>
      <c r="B2107" s="1" t="s">
        <v>11269</v>
      </c>
      <c r="C2107" s="6"/>
      <c r="E2107" s="1"/>
      <c r="F2107" s="1"/>
      <c r="G2107" s="1"/>
      <c r="J2107" s="1" t="s">
        <v>7559</v>
      </c>
      <c r="K2107" s="2" t="s">
        <v>10511</v>
      </c>
      <c r="P2107" s="7" t="s">
        <v>1241</v>
      </c>
      <c r="AV2107" s="1" t="s">
        <v>38</v>
      </c>
      <c r="BG2107" s="7" t="s">
        <v>1242</v>
      </c>
    </row>
    <row r="2108" spans="1:59" ht="108" x14ac:dyDescent="0.45">
      <c r="A2108" s="5">
        <v>2107</v>
      </c>
      <c r="B2108" s="1" t="s">
        <v>11270</v>
      </c>
      <c r="C2108" s="6"/>
      <c r="E2108" s="1"/>
      <c r="F2108" s="1"/>
      <c r="G2108" s="1"/>
      <c r="J2108" s="1" t="s">
        <v>7559</v>
      </c>
      <c r="K2108" s="2" t="s">
        <v>11763</v>
      </c>
      <c r="P2108" s="7" t="s">
        <v>1241</v>
      </c>
      <c r="AV2108" s="1" t="s">
        <v>38</v>
      </c>
      <c r="BG2108" s="7" t="s">
        <v>1242</v>
      </c>
    </row>
    <row r="2109" spans="1:59" ht="198" x14ac:dyDescent="0.45">
      <c r="A2109" s="5">
        <v>2108</v>
      </c>
      <c r="B2109" s="1" t="s">
        <v>11271</v>
      </c>
      <c r="C2109" s="6"/>
      <c r="E2109" s="1"/>
      <c r="F2109" s="1"/>
      <c r="G2109" s="1"/>
      <c r="J2109" s="1" t="s">
        <v>7559</v>
      </c>
      <c r="K2109" s="2" t="s">
        <v>10512</v>
      </c>
      <c r="P2109" s="7" t="s">
        <v>1241</v>
      </c>
      <c r="AV2109" s="1" t="s">
        <v>38</v>
      </c>
      <c r="BG2109" s="7" t="s">
        <v>1242</v>
      </c>
    </row>
    <row r="2110" spans="1:59" ht="180" x14ac:dyDescent="0.45">
      <c r="A2110" s="5">
        <v>2109</v>
      </c>
      <c r="B2110" s="1" t="s">
        <v>11272</v>
      </c>
      <c r="C2110" s="6"/>
      <c r="E2110" s="1"/>
      <c r="F2110" s="1"/>
      <c r="G2110" s="1"/>
      <c r="J2110" s="1" t="s">
        <v>7559</v>
      </c>
      <c r="K2110" s="2" t="s">
        <v>10513</v>
      </c>
      <c r="P2110" s="7" t="s">
        <v>1241</v>
      </c>
      <c r="AV2110" s="1" t="s">
        <v>38</v>
      </c>
      <c r="BG2110" s="7" t="s">
        <v>1242</v>
      </c>
    </row>
    <row r="2111" spans="1:59" ht="126" x14ac:dyDescent="0.45">
      <c r="A2111" s="5">
        <v>2110</v>
      </c>
      <c r="B2111" s="1" t="s">
        <v>11273</v>
      </c>
      <c r="C2111" s="6"/>
      <c r="E2111" s="1"/>
      <c r="F2111" s="1"/>
      <c r="G2111" s="1"/>
      <c r="J2111" s="1" t="s">
        <v>7559</v>
      </c>
      <c r="K2111" s="2" t="s">
        <v>11764</v>
      </c>
      <c r="P2111" s="7" t="s">
        <v>1241</v>
      </c>
      <c r="AV2111" s="1" t="s">
        <v>38</v>
      </c>
      <c r="BG2111" s="7" t="s">
        <v>1242</v>
      </c>
    </row>
    <row r="2112" spans="1:59" ht="126" x14ac:dyDescent="0.45">
      <c r="A2112" s="5">
        <v>2111</v>
      </c>
      <c r="B2112" s="1" t="s">
        <v>11274</v>
      </c>
      <c r="C2112" s="6"/>
      <c r="E2112" s="1"/>
      <c r="F2112" s="1"/>
      <c r="G2112" s="1"/>
      <c r="J2112" s="1" t="s">
        <v>7559</v>
      </c>
      <c r="K2112" s="2" t="s">
        <v>10514</v>
      </c>
      <c r="P2112" s="7" t="s">
        <v>1241</v>
      </c>
      <c r="AV2112" s="1" t="s">
        <v>38</v>
      </c>
      <c r="BG2112" s="7" t="s">
        <v>1242</v>
      </c>
    </row>
    <row r="2113" spans="1:59" ht="270" x14ac:dyDescent="0.45">
      <c r="A2113" s="5">
        <v>2112</v>
      </c>
      <c r="B2113" s="1" t="s">
        <v>11275</v>
      </c>
      <c r="C2113" s="6"/>
      <c r="E2113" s="1"/>
      <c r="F2113" s="1"/>
      <c r="G2113" s="1"/>
      <c r="J2113" s="1" t="s">
        <v>7559</v>
      </c>
      <c r="K2113" s="2" t="s">
        <v>10515</v>
      </c>
      <c r="P2113" s="7" t="s">
        <v>1241</v>
      </c>
      <c r="AV2113" s="1" t="s">
        <v>38</v>
      </c>
      <c r="BG2113" s="7" t="s">
        <v>1242</v>
      </c>
    </row>
    <row r="2114" spans="1:59" ht="324" x14ac:dyDescent="0.45">
      <c r="A2114" s="5">
        <v>2113</v>
      </c>
      <c r="B2114" s="1" t="s">
        <v>11276</v>
      </c>
      <c r="C2114" s="6"/>
      <c r="E2114" s="1"/>
      <c r="F2114" s="1"/>
      <c r="G2114" s="1"/>
      <c r="J2114" s="1" t="s">
        <v>7559</v>
      </c>
      <c r="K2114" s="2" t="s">
        <v>10516</v>
      </c>
      <c r="P2114" s="7" t="s">
        <v>1241</v>
      </c>
      <c r="AV2114" s="1" t="s">
        <v>38</v>
      </c>
      <c r="BG2114" s="7" t="s">
        <v>1242</v>
      </c>
    </row>
    <row r="2115" spans="1:59" ht="90" x14ac:dyDescent="0.45">
      <c r="A2115" s="5">
        <v>2114</v>
      </c>
      <c r="B2115" s="1" t="s">
        <v>11277</v>
      </c>
      <c r="C2115" s="6"/>
      <c r="E2115" s="1"/>
      <c r="F2115" s="1"/>
      <c r="G2115" s="1"/>
      <c r="J2115" s="1" t="s">
        <v>7559</v>
      </c>
      <c r="K2115" s="2" t="s">
        <v>10517</v>
      </c>
      <c r="P2115" s="7" t="s">
        <v>1241</v>
      </c>
      <c r="AV2115" s="1" t="s">
        <v>38</v>
      </c>
      <c r="BG2115" s="7" t="s">
        <v>1242</v>
      </c>
    </row>
    <row r="2116" spans="1:59" ht="270" x14ac:dyDescent="0.45">
      <c r="A2116" s="5">
        <v>2115</v>
      </c>
      <c r="B2116" s="1" t="s">
        <v>11278</v>
      </c>
      <c r="C2116" s="6"/>
      <c r="E2116" s="1"/>
      <c r="F2116" s="1"/>
      <c r="G2116" s="1"/>
      <c r="J2116" s="1" t="s">
        <v>7559</v>
      </c>
      <c r="K2116" s="2" t="s">
        <v>10518</v>
      </c>
      <c r="P2116" s="7" t="s">
        <v>1241</v>
      </c>
      <c r="AV2116" s="1" t="s">
        <v>38</v>
      </c>
      <c r="BG2116" s="7" t="s">
        <v>1242</v>
      </c>
    </row>
    <row r="2117" spans="1:59" ht="306" x14ac:dyDescent="0.45">
      <c r="A2117" s="5">
        <v>2116</v>
      </c>
      <c r="B2117" s="1" t="s">
        <v>11279</v>
      </c>
      <c r="C2117" s="6"/>
      <c r="E2117" s="1"/>
      <c r="F2117" s="1"/>
      <c r="G2117" s="1"/>
      <c r="J2117" s="1" t="s">
        <v>7559</v>
      </c>
      <c r="K2117" s="11" t="s">
        <v>12043</v>
      </c>
      <c r="P2117" s="7" t="s">
        <v>1241</v>
      </c>
      <c r="AV2117" s="1" t="s">
        <v>38</v>
      </c>
      <c r="BG2117" s="7" t="s">
        <v>1242</v>
      </c>
    </row>
    <row r="2118" spans="1:59" ht="126" x14ac:dyDescent="0.45">
      <c r="A2118" s="5">
        <v>2117</v>
      </c>
      <c r="B2118" s="1" t="s">
        <v>11280</v>
      </c>
      <c r="C2118" s="6"/>
      <c r="E2118" s="1"/>
      <c r="F2118" s="1"/>
      <c r="G2118" s="1"/>
      <c r="J2118" s="1" t="s">
        <v>7559</v>
      </c>
      <c r="K2118" s="2" t="s">
        <v>10519</v>
      </c>
      <c r="P2118" s="7" t="s">
        <v>1241</v>
      </c>
      <c r="AV2118" s="1" t="s">
        <v>38</v>
      </c>
      <c r="BG2118" s="7" t="s">
        <v>1242</v>
      </c>
    </row>
    <row r="2119" spans="1:59" ht="252" x14ac:dyDescent="0.45">
      <c r="A2119" s="5">
        <v>2118</v>
      </c>
      <c r="B2119" s="1" t="s">
        <v>11281</v>
      </c>
      <c r="C2119" s="6"/>
      <c r="E2119" s="1"/>
      <c r="F2119" s="1"/>
      <c r="G2119" s="1"/>
      <c r="J2119" s="1" t="s">
        <v>7559</v>
      </c>
      <c r="K2119" s="11" t="s">
        <v>12044</v>
      </c>
      <c r="P2119" s="7" t="s">
        <v>1241</v>
      </c>
      <c r="AV2119" s="1" t="s">
        <v>38</v>
      </c>
      <c r="BG2119" s="7" t="s">
        <v>1242</v>
      </c>
    </row>
    <row r="2120" spans="1:59" ht="252" x14ac:dyDescent="0.45">
      <c r="A2120" s="5">
        <v>2119</v>
      </c>
      <c r="B2120" s="1" t="s">
        <v>11282</v>
      </c>
      <c r="C2120" s="6"/>
      <c r="E2120" s="1"/>
      <c r="F2120" s="1"/>
      <c r="G2120" s="1"/>
      <c r="J2120" s="1" t="s">
        <v>7559</v>
      </c>
      <c r="K2120" s="2" t="s">
        <v>10520</v>
      </c>
      <c r="P2120" s="7" t="s">
        <v>1241</v>
      </c>
      <c r="AV2120" s="1" t="s">
        <v>38</v>
      </c>
      <c r="BG2120" s="7" t="s">
        <v>1242</v>
      </c>
    </row>
    <row r="2121" spans="1:59" ht="234" x14ac:dyDescent="0.45">
      <c r="A2121" s="5">
        <v>2120</v>
      </c>
      <c r="B2121" s="1" t="s">
        <v>11283</v>
      </c>
      <c r="C2121" s="6"/>
      <c r="E2121" s="1"/>
      <c r="F2121" s="1"/>
      <c r="G2121" s="1"/>
      <c r="J2121" s="1" t="s">
        <v>7559</v>
      </c>
      <c r="K2121" s="2" t="s">
        <v>10521</v>
      </c>
      <c r="P2121" s="7" t="s">
        <v>1241</v>
      </c>
      <c r="AV2121" s="1" t="s">
        <v>38</v>
      </c>
      <c r="BG2121" s="7" t="s">
        <v>1242</v>
      </c>
    </row>
    <row r="2122" spans="1:59" ht="378" x14ac:dyDescent="0.45">
      <c r="A2122" s="5">
        <v>2121</v>
      </c>
      <c r="B2122" s="1" t="s">
        <v>11284</v>
      </c>
      <c r="C2122" s="6"/>
      <c r="E2122" s="1"/>
      <c r="F2122" s="1"/>
      <c r="G2122" s="1"/>
      <c r="J2122" s="1" t="s">
        <v>7559</v>
      </c>
      <c r="K2122" s="2" t="s">
        <v>10522</v>
      </c>
      <c r="P2122" s="7" t="s">
        <v>1241</v>
      </c>
      <c r="AV2122" s="1" t="s">
        <v>38</v>
      </c>
      <c r="BG2122" s="7" t="s">
        <v>1242</v>
      </c>
    </row>
    <row r="2123" spans="1:59" ht="378" x14ac:dyDescent="0.45">
      <c r="A2123" s="5">
        <v>2122</v>
      </c>
      <c r="B2123" s="1" t="s">
        <v>11285</v>
      </c>
      <c r="C2123" s="6"/>
      <c r="E2123" s="1"/>
      <c r="F2123" s="1"/>
      <c r="G2123" s="1"/>
      <c r="J2123" s="1" t="s">
        <v>7559</v>
      </c>
      <c r="K2123" s="11" t="s">
        <v>12045</v>
      </c>
      <c r="P2123" s="7" t="s">
        <v>1241</v>
      </c>
      <c r="AV2123" s="1" t="s">
        <v>38</v>
      </c>
      <c r="BG2123" s="7" t="s">
        <v>1242</v>
      </c>
    </row>
    <row r="2124" spans="1:59" ht="409.6" x14ac:dyDescent="0.45">
      <c r="A2124" s="5">
        <v>2123</v>
      </c>
      <c r="B2124" s="1" t="s">
        <v>11286</v>
      </c>
      <c r="C2124" s="6"/>
      <c r="E2124" s="1"/>
      <c r="F2124" s="1"/>
      <c r="G2124" s="1"/>
      <c r="J2124" s="1" t="s">
        <v>7559</v>
      </c>
      <c r="K2124" s="11" t="s">
        <v>12046</v>
      </c>
      <c r="P2124" s="7" t="s">
        <v>1241</v>
      </c>
      <c r="AV2124" s="1" t="s">
        <v>38</v>
      </c>
      <c r="BG2124" s="7" t="s">
        <v>1242</v>
      </c>
    </row>
    <row r="2125" spans="1:59" ht="342" x14ac:dyDescent="0.45">
      <c r="A2125" s="5">
        <v>2124</v>
      </c>
      <c r="B2125" s="1" t="s">
        <v>11287</v>
      </c>
      <c r="C2125" s="6"/>
      <c r="E2125" s="1"/>
      <c r="F2125" s="1"/>
      <c r="G2125" s="1"/>
      <c r="J2125" s="1" t="s">
        <v>7559</v>
      </c>
      <c r="K2125" s="2" t="s">
        <v>10523</v>
      </c>
      <c r="P2125" s="7" t="s">
        <v>1241</v>
      </c>
      <c r="AV2125" s="1" t="s">
        <v>38</v>
      </c>
      <c r="BG2125" s="7" t="s">
        <v>1242</v>
      </c>
    </row>
    <row r="2126" spans="1:59" ht="108" x14ac:dyDescent="0.45">
      <c r="A2126" s="5">
        <v>2125</v>
      </c>
      <c r="B2126" s="1" t="s">
        <v>11288</v>
      </c>
      <c r="C2126" s="6"/>
      <c r="E2126" s="1"/>
      <c r="F2126" s="1"/>
      <c r="G2126" s="1"/>
      <c r="J2126" s="1" t="s">
        <v>7559</v>
      </c>
      <c r="K2126" s="2" t="s">
        <v>10524</v>
      </c>
      <c r="P2126" s="7" t="s">
        <v>1241</v>
      </c>
      <c r="AV2126" s="1" t="s">
        <v>38</v>
      </c>
      <c r="BG2126" s="7" t="s">
        <v>1242</v>
      </c>
    </row>
    <row r="2127" spans="1:59" ht="54" x14ac:dyDescent="0.45">
      <c r="A2127" s="5">
        <v>2126</v>
      </c>
      <c r="B2127" s="1" t="s">
        <v>11289</v>
      </c>
      <c r="C2127" s="6"/>
      <c r="E2127" s="1"/>
      <c r="F2127" s="1"/>
      <c r="G2127" s="1"/>
      <c r="J2127" s="1" t="s">
        <v>7559</v>
      </c>
      <c r="K2127" s="2" t="s">
        <v>10525</v>
      </c>
      <c r="P2127" s="7" t="s">
        <v>1241</v>
      </c>
      <c r="AV2127" s="1" t="s">
        <v>38</v>
      </c>
      <c r="BG2127" s="7" t="s">
        <v>1242</v>
      </c>
    </row>
    <row r="2128" spans="1:59" ht="216" x14ac:dyDescent="0.45">
      <c r="A2128" s="5">
        <v>2127</v>
      </c>
      <c r="B2128" s="1" t="s">
        <v>11290</v>
      </c>
      <c r="C2128" s="6"/>
      <c r="E2128" s="1"/>
      <c r="F2128" s="1"/>
      <c r="G2128" s="1"/>
      <c r="J2128" s="1" t="s">
        <v>7559</v>
      </c>
      <c r="K2128" s="11" t="s">
        <v>12047</v>
      </c>
      <c r="P2128" s="7" t="s">
        <v>1241</v>
      </c>
      <c r="AV2128" s="1" t="s">
        <v>38</v>
      </c>
      <c r="BG2128" s="7" t="s">
        <v>1242</v>
      </c>
    </row>
    <row r="2129" spans="1:59" ht="288" x14ac:dyDescent="0.45">
      <c r="A2129" s="5">
        <v>2128</v>
      </c>
      <c r="B2129" s="1" t="s">
        <v>11291</v>
      </c>
      <c r="C2129" s="6"/>
      <c r="E2129" s="1"/>
      <c r="F2129" s="1"/>
      <c r="G2129" s="1"/>
      <c r="J2129" s="1" t="s">
        <v>7559</v>
      </c>
      <c r="K2129" s="2" t="s">
        <v>10526</v>
      </c>
      <c r="P2129" s="7" t="s">
        <v>1241</v>
      </c>
      <c r="AV2129" s="1" t="s">
        <v>38</v>
      </c>
      <c r="BG2129" s="7" t="s">
        <v>1242</v>
      </c>
    </row>
    <row r="2130" spans="1:59" ht="216" x14ac:dyDescent="0.45">
      <c r="A2130" s="5">
        <v>2129</v>
      </c>
      <c r="B2130" s="1" t="s">
        <v>11292</v>
      </c>
      <c r="C2130" s="6"/>
      <c r="E2130" s="1"/>
      <c r="F2130" s="1"/>
      <c r="G2130" s="1"/>
      <c r="J2130" s="1" t="s">
        <v>7559</v>
      </c>
      <c r="K2130" s="2" t="s">
        <v>10527</v>
      </c>
      <c r="P2130" s="7" t="s">
        <v>1241</v>
      </c>
      <c r="AV2130" s="1" t="s">
        <v>38</v>
      </c>
      <c r="BG2130" s="7" t="s">
        <v>1242</v>
      </c>
    </row>
    <row r="2131" spans="1:59" ht="409.6" x14ac:dyDescent="0.45">
      <c r="A2131" s="5">
        <v>2130</v>
      </c>
      <c r="B2131" s="1" t="s">
        <v>11293</v>
      </c>
      <c r="C2131" s="6"/>
      <c r="E2131" s="1"/>
      <c r="F2131" s="1"/>
      <c r="G2131" s="1"/>
      <c r="J2131" s="1" t="s">
        <v>7559</v>
      </c>
      <c r="K2131" s="2" t="s">
        <v>10528</v>
      </c>
      <c r="P2131" s="7" t="s">
        <v>1241</v>
      </c>
      <c r="AV2131" s="1" t="s">
        <v>38</v>
      </c>
      <c r="BG2131" s="7" t="s">
        <v>1242</v>
      </c>
    </row>
    <row r="2132" spans="1:59" ht="180" x14ac:dyDescent="0.45">
      <c r="A2132" s="5">
        <v>2131</v>
      </c>
      <c r="B2132" s="1" t="s">
        <v>11294</v>
      </c>
      <c r="C2132" s="6"/>
      <c r="E2132" s="1"/>
      <c r="F2132" s="1"/>
      <c r="G2132" s="1"/>
      <c r="J2132" s="1" t="s">
        <v>7559</v>
      </c>
      <c r="K2132" s="2" t="s">
        <v>10529</v>
      </c>
      <c r="P2132" s="7" t="s">
        <v>1241</v>
      </c>
      <c r="AV2132" s="1" t="s">
        <v>38</v>
      </c>
      <c r="BG2132" s="7" t="s">
        <v>1242</v>
      </c>
    </row>
    <row r="2133" spans="1:59" ht="144" x14ac:dyDescent="0.45">
      <c r="A2133" s="5">
        <v>2132</v>
      </c>
      <c r="B2133" s="1" t="s">
        <v>11295</v>
      </c>
      <c r="C2133" s="6"/>
      <c r="E2133" s="1"/>
      <c r="F2133" s="1"/>
      <c r="G2133" s="1"/>
      <c r="J2133" s="1" t="s">
        <v>7559</v>
      </c>
      <c r="K2133" s="2" t="s">
        <v>10530</v>
      </c>
      <c r="P2133" s="7" t="s">
        <v>1241</v>
      </c>
      <c r="AV2133" s="1" t="s">
        <v>38</v>
      </c>
      <c r="BG2133" s="7" t="s">
        <v>1242</v>
      </c>
    </row>
    <row r="2134" spans="1:59" ht="90" x14ac:dyDescent="0.45">
      <c r="A2134" s="5">
        <v>2133</v>
      </c>
      <c r="B2134" s="1" t="s">
        <v>11296</v>
      </c>
      <c r="C2134" s="6"/>
      <c r="E2134" s="1"/>
      <c r="F2134" s="1"/>
      <c r="G2134" s="1"/>
      <c r="J2134" s="1" t="s">
        <v>7559</v>
      </c>
      <c r="K2134" s="2" t="s">
        <v>10531</v>
      </c>
      <c r="P2134" s="7" t="s">
        <v>1241</v>
      </c>
      <c r="AV2134" s="1" t="s">
        <v>38</v>
      </c>
      <c r="BG2134" s="7" t="s">
        <v>1242</v>
      </c>
    </row>
    <row r="2135" spans="1:59" ht="198" x14ac:dyDescent="0.45">
      <c r="A2135" s="5">
        <v>2134</v>
      </c>
      <c r="B2135" s="1" t="s">
        <v>11297</v>
      </c>
      <c r="C2135" s="6"/>
      <c r="E2135" s="1"/>
      <c r="F2135" s="1"/>
      <c r="G2135" s="1"/>
      <c r="J2135" s="1" t="s">
        <v>7559</v>
      </c>
      <c r="K2135" s="2" t="s">
        <v>10532</v>
      </c>
      <c r="P2135" s="7" t="s">
        <v>1241</v>
      </c>
      <c r="AV2135" s="1" t="s">
        <v>38</v>
      </c>
      <c r="BG2135" s="7" t="s">
        <v>1242</v>
      </c>
    </row>
    <row r="2136" spans="1:59" ht="108" x14ac:dyDescent="0.45">
      <c r="A2136" s="5">
        <v>2135</v>
      </c>
      <c r="B2136" s="1" t="s">
        <v>11298</v>
      </c>
      <c r="C2136" s="6"/>
      <c r="E2136" s="1"/>
      <c r="F2136" s="1"/>
      <c r="G2136" s="1"/>
      <c r="J2136" s="1" t="s">
        <v>7559</v>
      </c>
      <c r="K2136" s="2" t="s">
        <v>10533</v>
      </c>
      <c r="P2136" s="7" t="s">
        <v>1241</v>
      </c>
      <c r="AV2136" s="1" t="s">
        <v>38</v>
      </c>
      <c r="BG2136" s="7" t="s">
        <v>1242</v>
      </c>
    </row>
    <row r="2137" spans="1:59" ht="90" x14ac:dyDescent="0.45">
      <c r="A2137" s="5">
        <v>2136</v>
      </c>
      <c r="B2137" s="1" t="s">
        <v>11299</v>
      </c>
      <c r="C2137" s="6"/>
      <c r="E2137" s="1"/>
      <c r="F2137" s="1"/>
      <c r="G2137" s="1"/>
      <c r="J2137" s="1" t="s">
        <v>7559</v>
      </c>
      <c r="K2137" s="2" t="s">
        <v>10534</v>
      </c>
      <c r="P2137" s="7" t="s">
        <v>1241</v>
      </c>
      <c r="AV2137" s="1" t="s">
        <v>38</v>
      </c>
      <c r="BG2137" s="7" t="s">
        <v>1242</v>
      </c>
    </row>
    <row r="2138" spans="1:59" ht="409.6" x14ac:dyDescent="0.45">
      <c r="A2138" s="5">
        <v>2137</v>
      </c>
      <c r="B2138" s="1" t="s">
        <v>11300</v>
      </c>
      <c r="C2138" s="6"/>
      <c r="E2138" s="1"/>
      <c r="F2138" s="1"/>
      <c r="G2138" s="1"/>
      <c r="J2138" s="1" t="s">
        <v>7559</v>
      </c>
      <c r="K2138" s="2" t="s">
        <v>10535</v>
      </c>
      <c r="P2138" s="7" t="s">
        <v>1241</v>
      </c>
      <c r="AV2138" s="1" t="s">
        <v>38</v>
      </c>
      <c r="BG2138" s="7" t="s">
        <v>1242</v>
      </c>
    </row>
    <row r="2139" spans="1:59" ht="306" x14ac:dyDescent="0.45">
      <c r="A2139" s="5">
        <v>2138</v>
      </c>
      <c r="B2139" s="1" t="s">
        <v>11301</v>
      </c>
      <c r="C2139" s="6"/>
      <c r="E2139" s="1"/>
      <c r="F2139" s="1"/>
      <c r="G2139" s="1"/>
      <c r="J2139" s="1" t="s">
        <v>7559</v>
      </c>
      <c r="K2139" s="2" t="s">
        <v>10536</v>
      </c>
      <c r="P2139" s="7" t="s">
        <v>1241</v>
      </c>
      <c r="AV2139" s="1" t="s">
        <v>38</v>
      </c>
      <c r="BG2139" s="7" t="s">
        <v>1242</v>
      </c>
    </row>
    <row r="2140" spans="1:59" ht="342" x14ac:dyDescent="0.45">
      <c r="A2140" s="5">
        <v>2139</v>
      </c>
      <c r="B2140" s="1" t="s">
        <v>11302</v>
      </c>
      <c r="C2140" s="6"/>
      <c r="E2140" s="1"/>
      <c r="F2140" s="1"/>
      <c r="G2140" s="1"/>
      <c r="J2140" s="1" t="s">
        <v>7559</v>
      </c>
      <c r="K2140" s="2" t="s">
        <v>10537</v>
      </c>
      <c r="P2140" s="7" t="s">
        <v>1241</v>
      </c>
      <c r="AV2140" s="1" t="s">
        <v>38</v>
      </c>
      <c r="BG2140" s="7" t="s">
        <v>1242</v>
      </c>
    </row>
    <row r="2141" spans="1:59" ht="288" x14ac:dyDescent="0.45">
      <c r="A2141" s="5">
        <v>2140</v>
      </c>
      <c r="B2141" s="1" t="s">
        <v>11303</v>
      </c>
      <c r="C2141" s="6"/>
      <c r="E2141" s="1"/>
      <c r="F2141" s="1"/>
      <c r="G2141" s="1"/>
      <c r="J2141" s="1" t="s">
        <v>7559</v>
      </c>
      <c r="K2141" s="2" t="s">
        <v>10538</v>
      </c>
      <c r="P2141" s="7" t="s">
        <v>1241</v>
      </c>
      <c r="AV2141" s="1" t="s">
        <v>38</v>
      </c>
      <c r="BG2141" s="7" t="s">
        <v>1242</v>
      </c>
    </row>
    <row r="2142" spans="1:59" ht="198" x14ac:dyDescent="0.45">
      <c r="A2142" s="5">
        <v>2141</v>
      </c>
      <c r="B2142" s="1" t="s">
        <v>11304</v>
      </c>
      <c r="C2142" s="6"/>
      <c r="E2142" s="1"/>
      <c r="F2142" s="1"/>
      <c r="G2142" s="1"/>
      <c r="J2142" s="1" t="s">
        <v>7559</v>
      </c>
      <c r="K2142" s="2" t="s">
        <v>10539</v>
      </c>
      <c r="P2142" s="7" t="s">
        <v>1241</v>
      </c>
      <c r="AV2142" s="1" t="s">
        <v>38</v>
      </c>
      <c r="BG2142" s="7" t="s">
        <v>1242</v>
      </c>
    </row>
    <row r="2143" spans="1:59" ht="90" x14ac:dyDescent="0.45">
      <c r="A2143" s="5">
        <v>2142</v>
      </c>
      <c r="B2143" s="1" t="s">
        <v>11305</v>
      </c>
      <c r="C2143" s="6"/>
      <c r="E2143" s="1"/>
      <c r="F2143" s="1"/>
      <c r="G2143" s="1"/>
      <c r="J2143" s="1" t="s">
        <v>7559</v>
      </c>
      <c r="K2143" s="2" t="s">
        <v>10540</v>
      </c>
      <c r="P2143" s="7" t="s">
        <v>1241</v>
      </c>
      <c r="AV2143" s="1" t="s">
        <v>38</v>
      </c>
      <c r="BG2143" s="7" t="s">
        <v>1242</v>
      </c>
    </row>
    <row r="2144" spans="1:59" ht="90" x14ac:dyDescent="0.45">
      <c r="A2144" s="5">
        <v>2143</v>
      </c>
      <c r="B2144" s="1" t="s">
        <v>11306</v>
      </c>
      <c r="C2144" s="6"/>
      <c r="E2144" s="1"/>
      <c r="F2144" s="1"/>
      <c r="G2144" s="1"/>
      <c r="J2144" s="1" t="s">
        <v>7559</v>
      </c>
      <c r="K2144" s="2" t="s">
        <v>10541</v>
      </c>
      <c r="P2144" s="7" t="s">
        <v>1241</v>
      </c>
      <c r="AV2144" s="1" t="s">
        <v>38</v>
      </c>
      <c r="BG2144" s="7" t="s">
        <v>1242</v>
      </c>
    </row>
    <row r="2145" spans="1:59" ht="409.6" x14ac:dyDescent="0.45">
      <c r="A2145" s="5">
        <v>2144</v>
      </c>
      <c r="B2145" s="1" t="s">
        <v>11307</v>
      </c>
      <c r="C2145" s="6"/>
      <c r="E2145" s="1"/>
      <c r="F2145" s="1"/>
      <c r="G2145" s="1"/>
      <c r="J2145" s="1" t="s">
        <v>7559</v>
      </c>
      <c r="K2145" s="2" t="s">
        <v>10542</v>
      </c>
      <c r="P2145" s="7" t="s">
        <v>1241</v>
      </c>
      <c r="AV2145" s="1" t="s">
        <v>38</v>
      </c>
      <c r="BG2145" s="7" t="s">
        <v>1242</v>
      </c>
    </row>
    <row r="2146" spans="1:59" ht="162" x14ac:dyDescent="0.45">
      <c r="A2146" s="5">
        <v>2145</v>
      </c>
      <c r="B2146" s="1" t="s">
        <v>11308</v>
      </c>
      <c r="C2146" s="6"/>
      <c r="E2146" s="1"/>
      <c r="F2146" s="1"/>
      <c r="G2146" s="1"/>
      <c r="J2146" s="1" t="s">
        <v>7559</v>
      </c>
      <c r="K2146" s="2" t="s">
        <v>10543</v>
      </c>
      <c r="P2146" s="7" t="s">
        <v>1241</v>
      </c>
      <c r="AV2146" s="1" t="s">
        <v>38</v>
      </c>
      <c r="BG2146" s="7" t="s">
        <v>1242</v>
      </c>
    </row>
    <row r="2147" spans="1:59" ht="126" x14ac:dyDescent="0.45">
      <c r="A2147" s="5">
        <v>2146</v>
      </c>
      <c r="B2147" s="1" t="s">
        <v>11309</v>
      </c>
      <c r="C2147" s="6"/>
      <c r="E2147" s="1"/>
      <c r="F2147" s="1"/>
      <c r="G2147" s="1"/>
      <c r="J2147" s="1" t="s">
        <v>7559</v>
      </c>
      <c r="K2147" s="2" t="s">
        <v>10544</v>
      </c>
      <c r="P2147" s="7" t="s">
        <v>1241</v>
      </c>
      <c r="AV2147" s="1" t="s">
        <v>38</v>
      </c>
      <c r="BG2147" s="7" t="s">
        <v>1242</v>
      </c>
    </row>
    <row r="2148" spans="1:59" ht="108" x14ac:dyDescent="0.45">
      <c r="A2148" s="5">
        <v>2147</v>
      </c>
      <c r="B2148" s="1" t="s">
        <v>11310</v>
      </c>
      <c r="C2148" s="6"/>
      <c r="E2148" s="1"/>
      <c r="F2148" s="1"/>
      <c r="G2148" s="1"/>
      <c r="J2148" s="1" t="s">
        <v>7559</v>
      </c>
      <c r="K2148" s="2" t="s">
        <v>10545</v>
      </c>
      <c r="P2148" s="7" t="s">
        <v>1241</v>
      </c>
      <c r="AV2148" s="1" t="s">
        <v>38</v>
      </c>
      <c r="BG2148" s="7" t="s">
        <v>1242</v>
      </c>
    </row>
    <row r="2149" spans="1:59" ht="108" x14ac:dyDescent="0.45">
      <c r="A2149" s="5">
        <v>2148</v>
      </c>
      <c r="B2149" s="1" t="s">
        <v>11311</v>
      </c>
      <c r="C2149" s="6"/>
      <c r="E2149" s="1"/>
      <c r="F2149" s="1"/>
      <c r="G2149" s="1"/>
      <c r="J2149" s="1" t="s">
        <v>7559</v>
      </c>
      <c r="K2149" s="2" t="s">
        <v>10546</v>
      </c>
      <c r="P2149" s="7" t="s">
        <v>1241</v>
      </c>
      <c r="AV2149" s="1" t="s">
        <v>38</v>
      </c>
      <c r="BG2149" s="7" t="s">
        <v>1242</v>
      </c>
    </row>
    <row r="2150" spans="1:59" ht="270" x14ac:dyDescent="0.45">
      <c r="A2150" s="5">
        <v>2149</v>
      </c>
      <c r="B2150" s="1" t="s">
        <v>11312</v>
      </c>
      <c r="C2150" s="6"/>
      <c r="E2150" s="1"/>
      <c r="F2150" s="1"/>
      <c r="G2150" s="1"/>
      <c r="J2150" s="1" t="s">
        <v>7559</v>
      </c>
      <c r="K2150" s="2" t="s">
        <v>10547</v>
      </c>
      <c r="P2150" s="7" t="s">
        <v>1241</v>
      </c>
      <c r="AV2150" s="1" t="s">
        <v>38</v>
      </c>
      <c r="BG2150" s="7" t="s">
        <v>1242</v>
      </c>
    </row>
    <row r="2151" spans="1:59" ht="126" x14ac:dyDescent="0.45">
      <c r="A2151" s="5">
        <v>2150</v>
      </c>
      <c r="B2151" s="1" t="s">
        <v>11313</v>
      </c>
      <c r="C2151" s="6"/>
      <c r="E2151" s="1"/>
      <c r="F2151" s="1"/>
      <c r="G2151" s="1"/>
      <c r="J2151" s="1" t="s">
        <v>7559</v>
      </c>
      <c r="K2151" s="2" t="s">
        <v>10548</v>
      </c>
      <c r="P2151" s="7" t="s">
        <v>1241</v>
      </c>
      <c r="AV2151" s="1" t="s">
        <v>38</v>
      </c>
      <c r="BG2151" s="7" t="s">
        <v>1242</v>
      </c>
    </row>
    <row r="2152" spans="1:59" ht="234" x14ac:dyDescent="0.45">
      <c r="A2152" s="5">
        <v>2151</v>
      </c>
      <c r="B2152" s="1" t="s">
        <v>11314</v>
      </c>
      <c r="C2152" s="6"/>
      <c r="E2152" s="1"/>
      <c r="F2152" s="1"/>
      <c r="G2152" s="1"/>
      <c r="J2152" s="1" t="s">
        <v>7559</v>
      </c>
      <c r="K2152" s="2" t="s">
        <v>10549</v>
      </c>
      <c r="P2152" s="7" t="s">
        <v>1241</v>
      </c>
      <c r="AV2152" s="1" t="s">
        <v>38</v>
      </c>
      <c r="BG2152" s="7" t="s">
        <v>1242</v>
      </c>
    </row>
    <row r="2153" spans="1:59" ht="108" x14ac:dyDescent="0.45">
      <c r="A2153" s="5">
        <v>2152</v>
      </c>
      <c r="B2153" s="1" t="s">
        <v>11315</v>
      </c>
      <c r="C2153" s="6"/>
      <c r="E2153" s="1"/>
      <c r="F2153" s="1"/>
      <c r="G2153" s="1"/>
      <c r="J2153" s="1" t="s">
        <v>7559</v>
      </c>
      <c r="K2153" s="2" t="s">
        <v>10550</v>
      </c>
      <c r="P2153" s="7" t="s">
        <v>1241</v>
      </c>
      <c r="AV2153" s="1" t="s">
        <v>38</v>
      </c>
      <c r="BG2153" s="7" t="s">
        <v>1242</v>
      </c>
    </row>
    <row r="2154" spans="1:59" ht="216" x14ac:dyDescent="0.45">
      <c r="A2154" s="5">
        <v>2153</v>
      </c>
      <c r="B2154" s="1" t="s">
        <v>11316</v>
      </c>
      <c r="C2154" s="6"/>
      <c r="E2154" s="1"/>
      <c r="F2154" s="1"/>
      <c r="G2154" s="1"/>
      <c r="J2154" s="1" t="s">
        <v>7559</v>
      </c>
      <c r="K2154" s="2" t="s">
        <v>10551</v>
      </c>
      <c r="P2154" s="7" t="s">
        <v>1241</v>
      </c>
      <c r="AV2154" s="1" t="s">
        <v>38</v>
      </c>
      <c r="BG2154" s="7" t="s">
        <v>1242</v>
      </c>
    </row>
    <row r="2155" spans="1:59" ht="306" x14ac:dyDescent="0.45">
      <c r="A2155" s="5">
        <v>2154</v>
      </c>
      <c r="B2155" s="1" t="s">
        <v>11317</v>
      </c>
      <c r="C2155" s="6"/>
      <c r="E2155" s="1"/>
      <c r="F2155" s="1"/>
      <c r="G2155" s="1"/>
      <c r="J2155" s="1" t="s">
        <v>7559</v>
      </c>
      <c r="K2155" s="2" t="s">
        <v>11730</v>
      </c>
      <c r="P2155" s="7" t="s">
        <v>1241</v>
      </c>
      <c r="AV2155" s="1" t="s">
        <v>38</v>
      </c>
      <c r="BG2155" s="7" t="s">
        <v>1242</v>
      </c>
    </row>
    <row r="2156" spans="1:59" ht="378" x14ac:dyDescent="0.45">
      <c r="A2156" s="5">
        <v>2155</v>
      </c>
      <c r="B2156" s="1" t="s">
        <v>11318</v>
      </c>
      <c r="C2156" s="6"/>
      <c r="E2156" s="1"/>
      <c r="F2156" s="1"/>
      <c r="G2156" s="1"/>
      <c r="J2156" s="1" t="s">
        <v>7559</v>
      </c>
      <c r="K2156" s="2" t="s">
        <v>10552</v>
      </c>
      <c r="P2156" s="7" t="s">
        <v>1241</v>
      </c>
      <c r="AV2156" s="1" t="s">
        <v>38</v>
      </c>
      <c r="BG2156" s="7" t="s">
        <v>1242</v>
      </c>
    </row>
    <row r="2157" spans="1:59" ht="126" x14ac:dyDescent="0.45">
      <c r="A2157" s="5">
        <v>2156</v>
      </c>
      <c r="B2157" s="1" t="s">
        <v>11319</v>
      </c>
      <c r="C2157" s="6"/>
      <c r="E2157" s="1"/>
      <c r="F2157" s="1"/>
      <c r="G2157" s="1"/>
      <c r="J2157" s="1" t="s">
        <v>7559</v>
      </c>
      <c r="K2157" s="2" t="s">
        <v>10553</v>
      </c>
      <c r="P2157" s="7" t="s">
        <v>1241</v>
      </c>
      <c r="AV2157" s="1" t="s">
        <v>38</v>
      </c>
      <c r="BG2157" s="7" t="s">
        <v>1242</v>
      </c>
    </row>
    <row r="2158" spans="1:59" ht="342" x14ac:dyDescent="0.45">
      <c r="A2158" s="5">
        <v>2157</v>
      </c>
      <c r="B2158" s="1" t="s">
        <v>11320</v>
      </c>
      <c r="C2158" s="6"/>
      <c r="E2158" s="1"/>
      <c r="F2158" s="1"/>
      <c r="G2158" s="1"/>
      <c r="J2158" s="1" t="s">
        <v>7559</v>
      </c>
      <c r="K2158" s="2" t="s">
        <v>10554</v>
      </c>
      <c r="P2158" s="7" t="s">
        <v>1241</v>
      </c>
      <c r="AV2158" s="1" t="s">
        <v>38</v>
      </c>
      <c r="BG2158" s="7" t="s">
        <v>1242</v>
      </c>
    </row>
    <row r="2159" spans="1:59" ht="252" x14ac:dyDescent="0.45">
      <c r="A2159" s="5">
        <v>2158</v>
      </c>
      <c r="B2159" s="1" t="s">
        <v>11321</v>
      </c>
      <c r="C2159" s="6"/>
      <c r="E2159" s="1"/>
      <c r="F2159" s="1"/>
      <c r="G2159" s="1"/>
      <c r="J2159" s="1" t="s">
        <v>7559</v>
      </c>
      <c r="K2159" s="2" t="s">
        <v>10555</v>
      </c>
      <c r="P2159" s="7" t="s">
        <v>1241</v>
      </c>
      <c r="AV2159" s="1" t="s">
        <v>38</v>
      </c>
      <c r="BG2159" s="7" t="s">
        <v>1242</v>
      </c>
    </row>
    <row r="2160" spans="1:59" ht="198" x14ac:dyDescent="0.45">
      <c r="A2160" s="5">
        <v>2159</v>
      </c>
      <c r="B2160" s="1" t="s">
        <v>11322</v>
      </c>
      <c r="C2160" s="6"/>
      <c r="E2160" s="1"/>
      <c r="F2160" s="1"/>
      <c r="G2160" s="1"/>
      <c r="J2160" s="1" t="s">
        <v>7559</v>
      </c>
      <c r="K2160" s="2" t="s">
        <v>10556</v>
      </c>
      <c r="P2160" s="7" t="s">
        <v>1241</v>
      </c>
      <c r="AV2160" s="1" t="s">
        <v>38</v>
      </c>
      <c r="BG2160" s="7" t="s">
        <v>1242</v>
      </c>
    </row>
    <row r="2161" spans="1:59" ht="144" x14ac:dyDescent="0.45">
      <c r="A2161" s="5">
        <v>2160</v>
      </c>
      <c r="B2161" s="1" t="s">
        <v>11323</v>
      </c>
      <c r="C2161" s="6"/>
      <c r="E2161" s="1"/>
      <c r="F2161" s="1"/>
      <c r="G2161" s="1"/>
      <c r="J2161" s="1" t="s">
        <v>7559</v>
      </c>
      <c r="K2161" s="2" t="s">
        <v>10557</v>
      </c>
      <c r="P2161" s="7" t="s">
        <v>1241</v>
      </c>
      <c r="AV2161" s="1" t="s">
        <v>38</v>
      </c>
      <c r="BG2161" s="7" t="s">
        <v>1242</v>
      </c>
    </row>
    <row r="2162" spans="1:59" ht="306" x14ac:dyDescent="0.45">
      <c r="A2162" s="5">
        <v>2161</v>
      </c>
      <c r="B2162" s="1" t="s">
        <v>10558</v>
      </c>
      <c r="C2162" s="6"/>
      <c r="E2162" s="1"/>
      <c r="F2162" s="1"/>
      <c r="G2162" s="1"/>
      <c r="J2162" s="1" t="s">
        <v>7559</v>
      </c>
      <c r="K2162" s="2" t="s">
        <v>10559</v>
      </c>
      <c r="P2162" s="7" t="s">
        <v>1241</v>
      </c>
      <c r="AV2162" s="1" t="s">
        <v>38</v>
      </c>
      <c r="BG2162" s="7" t="s">
        <v>1242</v>
      </c>
    </row>
    <row r="2163" spans="1:59" ht="126" x14ac:dyDescent="0.45">
      <c r="A2163" s="5">
        <v>2162</v>
      </c>
      <c r="B2163" s="1" t="s">
        <v>11324</v>
      </c>
      <c r="C2163" s="6"/>
      <c r="E2163" s="1"/>
      <c r="F2163" s="1"/>
      <c r="G2163" s="1"/>
      <c r="J2163" s="1" t="s">
        <v>7559</v>
      </c>
      <c r="K2163" s="2" t="s">
        <v>10560</v>
      </c>
      <c r="P2163" s="7" t="s">
        <v>1241</v>
      </c>
      <c r="AV2163" s="1" t="s">
        <v>38</v>
      </c>
      <c r="BG2163" s="7" t="s">
        <v>1242</v>
      </c>
    </row>
    <row r="2164" spans="1:59" ht="409.6" x14ac:dyDescent="0.45">
      <c r="A2164" s="5">
        <v>2163</v>
      </c>
      <c r="B2164" s="1" t="s">
        <v>11325</v>
      </c>
      <c r="C2164" s="6"/>
      <c r="E2164" s="1"/>
      <c r="F2164" s="1"/>
      <c r="G2164" s="1"/>
      <c r="J2164" s="1" t="s">
        <v>7559</v>
      </c>
      <c r="K2164" s="2" t="s">
        <v>10564</v>
      </c>
      <c r="P2164" s="7" t="s">
        <v>1241</v>
      </c>
      <c r="AV2164" s="1" t="s">
        <v>38</v>
      </c>
      <c r="BG2164" s="7" t="s">
        <v>1242</v>
      </c>
    </row>
    <row r="2165" spans="1:59" ht="126" x14ac:dyDescent="0.45">
      <c r="A2165" s="5">
        <v>2164</v>
      </c>
      <c r="B2165" s="1" t="s">
        <v>11326</v>
      </c>
      <c r="C2165" s="6"/>
      <c r="E2165" s="1"/>
      <c r="F2165" s="1"/>
      <c r="G2165" s="1"/>
      <c r="J2165" s="1" t="s">
        <v>7559</v>
      </c>
      <c r="K2165" s="2" t="s">
        <v>10565</v>
      </c>
      <c r="P2165" s="7" t="s">
        <v>1241</v>
      </c>
      <c r="AV2165" s="1" t="s">
        <v>38</v>
      </c>
      <c r="BG2165" s="7" t="s">
        <v>1242</v>
      </c>
    </row>
    <row r="2166" spans="1:59" ht="288" x14ac:dyDescent="0.45">
      <c r="A2166" s="5">
        <v>2165</v>
      </c>
      <c r="B2166" s="1" t="s">
        <v>11327</v>
      </c>
      <c r="C2166" s="6"/>
      <c r="E2166" s="1"/>
      <c r="F2166" s="1"/>
      <c r="G2166" s="1"/>
      <c r="J2166" s="1" t="s">
        <v>7559</v>
      </c>
      <c r="K2166" s="2" t="s">
        <v>10566</v>
      </c>
      <c r="P2166" s="7" t="s">
        <v>1241</v>
      </c>
      <c r="AV2166" s="1" t="s">
        <v>38</v>
      </c>
      <c r="BG2166" s="7" t="s">
        <v>1242</v>
      </c>
    </row>
    <row r="2167" spans="1:59" ht="234" x14ac:dyDescent="0.45">
      <c r="A2167" s="5">
        <v>2166</v>
      </c>
      <c r="B2167" s="1" t="s">
        <v>11328</v>
      </c>
      <c r="C2167" s="6"/>
      <c r="E2167" s="1"/>
      <c r="F2167" s="1"/>
      <c r="G2167" s="1"/>
      <c r="J2167" s="1" t="s">
        <v>7559</v>
      </c>
      <c r="K2167" s="2" t="s">
        <v>11739</v>
      </c>
      <c r="P2167" s="7" t="s">
        <v>1241</v>
      </c>
      <c r="AV2167" s="1" t="s">
        <v>38</v>
      </c>
      <c r="BG2167" s="7" t="s">
        <v>1242</v>
      </c>
    </row>
    <row r="2168" spans="1:59" ht="144" x14ac:dyDescent="0.45">
      <c r="A2168" s="5">
        <v>2167</v>
      </c>
      <c r="B2168" s="1" t="s">
        <v>11329</v>
      </c>
      <c r="C2168" s="6"/>
      <c r="E2168" s="1"/>
      <c r="F2168" s="1"/>
      <c r="G2168" s="1"/>
      <c r="J2168" s="1" t="s">
        <v>7559</v>
      </c>
      <c r="K2168" s="2" t="s">
        <v>10567</v>
      </c>
      <c r="P2168" s="7" t="s">
        <v>1241</v>
      </c>
      <c r="AV2168" s="1" t="s">
        <v>38</v>
      </c>
      <c r="BG2168" s="7" t="s">
        <v>1242</v>
      </c>
    </row>
    <row r="2169" spans="1:59" ht="144" x14ac:dyDescent="0.45">
      <c r="A2169" s="5">
        <v>2168</v>
      </c>
      <c r="B2169" s="1" t="s">
        <v>11330</v>
      </c>
      <c r="C2169" s="6"/>
      <c r="E2169" s="1"/>
      <c r="F2169" s="1"/>
      <c r="G2169" s="1"/>
      <c r="J2169" s="1" t="s">
        <v>7559</v>
      </c>
      <c r="K2169" s="2" t="s">
        <v>10568</v>
      </c>
      <c r="P2169" s="7" t="s">
        <v>1241</v>
      </c>
      <c r="AV2169" s="1" t="s">
        <v>38</v>
      </c>
      <c r="BG2169" s="7" t="s">
        <v>1242</v>
      </c>
    </row>
    <row r="2170" spans="1:59" ht="409.6" x14ac:dyDescent="0.45">
      <c r="A2170" s="5">
        <v>2169</v>
      </c>
      <c r="B2170" s="1" t="s">
        <v>11331</v>
      </c>
      <c r="C2170" s="6"/>
      <c r="E2170" s="1"/>
      <c r="F2170" s="1"/>
      <c r="G2170" s="1"/>
      <c r="J2170" s="1" t="s">
        <v>7559</v>
      </c>
      <c r="K2170" s="2" t="s">
        <v>11740</v>
      </c>
      <c r="P2170" s="7" t="s">
        <v>1241</v>
      </c>
      <c r="AV2170" s="1" t="s">
        <v>38</v>
      </c>
      <c r="BG2170" s="7" t="s">
        <v>1242</v>
      </c>
    </row>
    <row r="2171" spans="1:59" ht="90" x14ac:dyDescent="0.45">
      <c r="A2171" s="5">
        <v>2170</v>
      </c>
      <c r="B2171" s="1" t="s">
        <v>11332</v>
      </c>
      <c r="C2171" s="6"/>
      <c r="E2171" s="1"/>
      <c r="F2171" s="1"/>
      <c r="G2171" s="1"/>
      <c r="J2171" s="1" t="s">
        <v>7559</v>
      </c>
      <c r="K2171" s="2" t="s">
        <v>10569</v>
      </c>
      <c r="P2171" s="7" t="s">
        <v>1241</v>
      </c>
      <c r="AV2171" s="1" t="s">
        <v>38</v>
      </c>
      <c r="BG2171" s="7" t="s">
        <v>1242</v>
      </c>
    </row>
    <row r="2172" spans="1:59" ht="72" x14ac:dyDescent="0.45">
      <c r="A2172" s="5">
        <v>2171</v>
      </c>
      <c r="B2172" s="1" t="s">
        <v>11333</v>
      </c>
      <c r="C2172" s="6"/>
      <c r="E2172" s="1"/>
      <c r="F2172" s="1"/>
      <c r="G2172" s="1"/>
      <c r="J2172" s="1" t="s">
        <v>7559</v>
      </c>
      <c r="K2172" s="2" t="s">
        <v>10570</v>
      </c>
      <c r="P2172" s="7" t="s">
        <v>1241</v>
      </c>
      <c r="AV2172" s="1" t="s">
        <v>38</v>
      </c>
      <c r="BG2172" s="7" t="s">
        <v>1242</v>
      </c>
    </row>
    <row r="2173" spans="1:59" ht="108" x14ac:dyDescent="0.45">
      <c r="A2173" s="5">
        <v>2172</v>
      </c>
      <c r="B2173" s="1" t="s">
        <v>11334</v>
      </c>
      <c r="C2173" s="6"/>
      <c r="E2173" s="1"/>
      <c r="F2173" s="1"/>
      <c r="G2173" s="1"/>
      <c r="J2173" s="1" t="s">
        <v>7559</v>
      </c>
      <c r="K2173" s="2" t="s">
        <v>10571</v>
      </c>
      <c r="P2173" s="7" t="s">
        <v>1241</v>
      </c>
      <c r="AV2173" s="1" t="s">
        <v>38</v>
      </c>
      <c r="BG2173" s="7" t="s">
        <v>1242</v>
      </c>
    </row>
    <row r="2174" spans="1:59" ht="216" x14ac:dyDescent="0.45">
      <c r="A2174" s="5">
        <v>2173</v>
      </c>
      <c r="B2174" s="1" t="s">
        <v>11335</v>
      </c>
      <c r="C2174" s="6"/>
      <c r="E2174" s="1"/>
      <c r="F2174" s="1"/>
      <c r="G2174" s="1"/>
      <c r="J2174" s="1" t="s">
        <v>7559</v>
      </c>
      <c r="K2174" s="2" t="s">
        <v>10572</v>
      </c>
      <c r="P2174" s="7" t="s">
        <v>1241</v>
      </c>
      <c r="AV2174" s="1" t="s">
        <v>38</v>
      </c>
      <c r="BG2174" s="7" t="s">
        <v>1242</v>
      </c>
    </row>
    <row r="2175" spans="1:59" ht="198" x14ac:dyDescent="0.45">
      <c r="A2175" s="5">
        <v>2174</v>
      </c>
      <c r="B2175" s="1" t="s">
        <v>11336</v>
      </c>
      <c r="C2175" s="6"/>
      <c r="E2175" s="1"/>
      <c r="F2175" s="1"/>
      <c r="G2175" s="1"/>
      <c r="J2175" s="1" t="s">
        <v>7559</v>
      </c>
      <c r="K2175" s="2" t="s">
        <v>10573</v>
      </c>
      <c r="P2175" s="7" t="s">
        <v>1241</v>
      </c>
      <c r="AV2175" s="1" t="s">
        <v>38</v>
      </c>
      <c r="BG2175" s="7" t="s">
        <v>1242</v>
      </c>
    </row>
    <row r="2176" spans="1:59" ht="144" x14ac:dyDescent="0.45">
      <c r="A2176" s="5">
        <v>2175</v>
      </c>
      <c r="B2176" s="1" t="s">
        <v>11337</v>
      </c>
      <c r="C2176" s="6"/>
      <c r="E2176" s="1"/>
      <c r="F2176" s="1"/>
      <c r="G2176" s="1"/>
      <c r="J2176" s="1" t="s">
        <v>7559</v>
      </c>
      <c r="K2176" s="2" t="s">
        <v>10574</v>
      </c>
      <c r="P2176" s="7" t="s">
        <v>1241</v>
      </c>
      <c r="AV2176" s="1" t="s">
        <v>38</v>
      </c>
      <c r="BG2176" s="7" t="s">
        <v>1242</v>
      </c>
    </row>
    <row r="2177" spans="1:59" ht="144" x14ac:dyDescent="0.45">
      <c r="A2177" s="5">
        <v>2176</v>
      </c>
      <c r="B2177" s="1" t="s">
        <v>11338</v>
      </c>
      <c r="C2177" s="6"/>
      <c r="E2177" s="1"/>
      <c r="F2177" s="1"/>
      <c r="G2177" s="1"/>
      <c r="J2177" s="1" t="s">
        <v>7559</v>
      </c>
      <c r="K2177" s="2" t="s">
        <v>10575</v>
      </c>
      <c r="P2177" s="7" t="s">
        <v>1241</v>
      </c>
      <c r="AV2177" s="1" t="s">
        <v>38</v>
      </c>
      <c r="BG2177" s="7" t="s">
        <v>1242</v>
      </c>
    </row>
    <row r="2178" spans="1:59" ht="180" x14ac:dyDescent="0.45">
      <c r="A2178" s="5">
        <v>2177</v>
      </c>
      <c r="B2178" s="1" t="s">
        <v>11339</v>
      </c>
      <c r="C2178" s="6"/>
      <c r="E2178" s="1"/>
      <c r="F2178" s="1"/>
      <c r="G2178" s="1"/>
      <c r="J2178" s="1" t="s">
        <v>7559</v>
      </c>
      <c r="K2178" s="2" t="s">
        <v>10576</v>
      </c>
      <c r="P2178" s="7" t="s">
        <v>1241</v>
      </c>
      <c r="AV2178" s="1" t="s">
        <v>38</v>
      </c>
      <c r="BG2178" s="7" t="s">
        <v>1242</v>
      </c>
    </row>
    <row r="2179" spans="1:59" ht="108" x14ac:dyDescent="0.45">
      <c r="A2179" s="5">
        <v>2178</v>
      </c>
      <c r="B2179" s="1" t="s">
        <v>11340</v>
      </c>
      <c r="C2179" s="6"/>
      <c r="E2179" s="1"/>
      <c r="F2179" s="1"/>
      <c r="G2179" s="1"/>
      <c r="J2179" s="1" t="s">
        <v>7559</v>
      </c>
      <c r="K2179" s="2" t="s">
        <v>10577</v>
      </c>
      <c r="P2179" s="7" t="s">
        <v>1241</v>
      </c>
      <c r="AV2179" s="1" t="s">
        <v>38</v>
      </c>
      <c r="BG2179" s="7" t="s">
        <v>1242</v>
      </c>
    </row>
    <row r="2180" spans="1:59" ht="90" x14ac:dyDescent="0.45">
      <c r="A2180" s="5">
        <v>2179</v>
      </c>
      <c r="B2180" s="1" t="s">
        <v>11341</v>
      </c>
      <c r="C2180" s="6"/>
      <c r="E2180" s="1"/>
      <c r="F2180" s="1"/>
      <c r="G2180" s="1"/>
      <c r="J2180" s="1" t="s">
        <v>7559</v>
      </c>
      <c r="K2180" s="2" t="s">
        <v>10578</v>
      </c>
      <c r="P2180" s="7" t="s">
        <v>1241</v>
      </c>
      <c r="AV2180" s="1" t="s">
        <v>38</v>
      </c>
      <c r="BG2180" s="7" t="s">
        <v>1242</v>
      </c>
    </row>
    <row r="2181" spans="1:59" ht="108" x14ac:dyDescent="0.45">
      <c r="A2181" s="5">
        <v>2180</v>
      </c>
      <c r="B2181" s="1" t="s">
        <v>11342</v>
      </c>
      <c r="C2181" s="6"/>
      <c r="E2181" s="1"/>
      <c r="F2181" s="1"/>
      <c r="G2181" s="1"/>
      <c r="J2181" s="1" t="s">
        <v>7559</v>
      </c>
      <c r="K2181" s="2" t="s">
        <v>10579</v>
      </c>
      <c r="P2181" s="7" t="s">
        <v>1241</v>
      </c>
      <c r="AV2181" s="1" t="s">
        <v>38</v>
      </c>
      <c r="BG2181" s="7" t="s">
        <v>1242</v>
      </c>
    </row>
    <row r="2182" spans="1:59" ht="234" x14ac:dyDescent="0.45">
      <c r="A2182" s="5">
        <v>2181</v>
      </c>
      <c r="B2182" s="1" t="s">
        <v>11343</v>
      </c>
      <c r="C2182" s="6"/>
      <c r="E2182" s="1"/>
      <c r="F2182" s="1"/>
      <c r="G2182" s="1"/>
      <c r="J2182" s="1" t="s">
        <v>7559</v>
      </c>
      <c r="K2182" s="2" t="s">
        <v>11741</v>
      </c>
      <c r="P2182" s="7" t="s">
        <v>1241</v>
      </c>
      <c r="AV2182" s="1" t="s">
        <v>38</v>
      </c>
      <c r="BG2182" s="7" t="s">
        <v>1242</v>
      </c>
    </row>
    <row r="2183" spans="1:59" ht="126" x14ac:dyDescent="0.45">
      <c r="A2183" s="5">
        <v>2182</v>
      </c>
      <c r="B2183" s="1" t="s">
        <v>11344</v>
      </c>
      <c r="C2183" s="6"/>
      <c r="E2183" s="1"/>
      <c r="F2183" s="1"/>
      <c r="G2183" s="1"/>
      <c r="J2183" s="1" t="s">
        <v>7559</v>
      </c>
      <c r="K2183" s="2" t="s">
        <v>10580</v>
      </c>
      <c r="P2183" s="7" t="s">
        <v>1241</v>
      </c>
      <c r="AV2183" s="1" t="s">
        <v>38</v>
      </c>
      <c r="BG2183" s="7" t="s">
        <v>1242</v>
      </c>
    </row>
    <row r="2184" spans="1:59" ht="144" x14ac:dyDescent="0.45">
      <c r="A2184" s="5">
        <v>2183</v>
      </c>
      <c r="B2184" s="1" t="s">
        <v>11345</v>
      </c>
      <c r="C2184" s="6"/>
      <c r="E2184" s="1"/>
      <c r="F2184" s="1"/>
      <c r="G2184" s="1"/>
      <c r="J2184" s="1" t="s">
        <v>7559</v>
      </c>
      <c r="K2184" s="2" t="s">
        <v>10581</v>
      </c>
      <c r="P2184" s="7" t="s">
        <v>1241</v>
      </c>
      <c r="AV2184" s="1" t="s">
        <v>38</v>
      </c>
      <c r="BG2184" s="7" t="s">
        <v>1242</v>
      </c>
    </row>
    <row r="2185" spans="1:59" ht="162" x14ac:dyDescent="0.45">
      <c r="A2185" s="5">
        <v>2184</v>
      </c>
      <c r="B2185" s="1" t="s">
        <v>11346</v>
      </c>
      <c r="C2185" s="6"/>
      <c r="E2185" s="1"/>
      <c r="F2185" s="1"/>
      <c r="G2185" s="1"/>
      <c r="J2185" s="1" t="s">
        <v>7559</v>
      </c>
      <c r="K2185" s="2" t="s">
        <v>11742</v>
      </c>
      <c r="P2185" s="7" t="s">
        <v>1241</v>
      </c>
      <c r="AV2185" s="1" t="s">
        <v>38</v>
      </c>
      <c r="BG2185" s="7" t="s">
        <v>1242</v>
      </c>
    </row>
    <row r="2186" spans="1:59" ht="144" x14ac:dyDescent="0.45">
      <c r="A2186" s="5">
        <v>2185</v>
      </c>
      <c r="B2186" s="1" t="s">
        <v>11347</v>
      </c>
      <c r="C2186" s="6"/>
      <c r="E2186" s="1"/>
      <c r="F2186" s="1"/>
      <c r="G2186" s="1"/>
      <c r="J2186" s="1" t="s">
        <v>7559</v>
      </c>
      <c r="K2186" s="2" t="s">
        <v>10582</v>
      </c>
      <c r="P2186" s="7" t="s">
        <v>1241</v>
      </c>
      <c r="AV2186" s="1" t="s">
        <v>38</v>
      </c>
      <c r="BG2186" s="7" t="s">
        <v>1242</v>
      </c>
    </row>
    <row r="2187" spans="1:59" ht="288" x14ac:dyDescent="0.45">
      <c r="A2187" s="5">
        <v>2186</v>
      </c>
      <c r="B2187" s="1" t="s">
        <v>11348</v>
      </c>
      <c r="C2187" s="6"/>
      <c r="E2187" s="1"/>
      <c r="F2187" s="1"/>
      <c r="G2187" s="1"/>
      <c r="J2187" s="1" t="s">
        <v>7559</v>
      </c>
      <c r="K2187" s="2" t="s">
        <v>11743</v>
      </c>
      <c r="P2187" s="7" t="s">
        <v>1241</v>
      </c>
      <c r="AV2187" s="1" t="s">
        <v>38</v>
      </c>
      <c r="BG2187" s="7" t="s">
        <v>1242</v>
      </c>
    </row>
    <row r="2188" spans="1:59" ht="162" x14ac:dyDescent="0.45">
      <c r="A2188" s="5">
        <v>2187</v>
      </c>
      <c r="B2188" s="1" t="s">
        <v>11349</v>
      </c>
      <c r="C2188" s="6"/>
      <c r="E2188" s="1"/>
      <c r="F2188" s="1"/>
      <c r="G2188" s="1"/>
      <c r="J2188" s="1" t="s">
        <v>7559</v>
      </c>
      <c r="K2188" s="2" t="s">
        <v>11744</v>
      </c>
      <c r="P2188" s="7" t="s">
        <v>1241</v>
      </c>
      <c r="AV2188" s="1" t="s">
        <v>38</v>
      </c>
      <c r="BG2188" s="7" t="s">
        <v>1242</v>
      </c>
    </row>
    <row r="2189" spans="1:59" ht="306" x14ac:dyDescent="0.45">
      <c r="A2189" s="5">
        <v>2188</v>
      </c>
      <c r="B2189" s="1" t="s">
        <v>11350</v>
      </c>
      <c r="C2189" s="6"/>
      <c r="E2189" s="1"/>
      <c r="F2189" s="1"/>
      <c r="G2189" s="1"/>
      <c r="J2189" s="1" t="s">
        <v>7559</v>
      </c>
      <c r="K2189" s="2" t="s">
        <v>11745</v>
      </c>
      <c r="P2189" s="7" t="s">
        <v>1241</v>
      </c>
      <c r="AV2189" s="1" t="s">
        <v>38</v>
      </c>
      <c r="BG2189" s="7" t="s">
        <v>1242</v>
      </c>
    </row>
    <row r="2190" spans="1:59" ht="180" x14ac:dyDescent="0.45">
      <c r="A2190" s="5">
        <v>2189</v>
      </c>
      <c r="B2190" s="1" t="s">
        <v>11351</v>
      </c>
      <c r="C2190" s="6"/>
      <c r="E2190" s="1"/>
      <c r="F2190" s="1"/>
      <c r="G2190" s="1"/>
      <c r="J2190" s="1" t="s">
        <v>7559</v>
      </c>
      <c r="K2190" s="2" t="s">
        <v>10583</v>
      </c>
      <c r="P2190" s="7" t="s">
        <v>1241</v>
      </c>
      <c r="AV2190" s="1" t="s">
        <v>38</v>
      </c>
      <c r="BG2190" s="7" t="s">
        <v>1242</v>
      </c>
    </row>
    <row r="2191" spans="1:59" ht="342" x14ac:dyDescent="0.45">
      <c r="A2191" s="5">
        <v>2190</v>
      </c>
      <c r="B2191" s="1" t="s">
        <v>11352</v>
      </c>
      <c r="C2191" s="6"/>
      <c r="E2191" s="1"/>
      <c r="F2191" s="1"/>
      <c r="G2191" s="1"/>
      <c r="J2191" s="1" t="s">
        <v>7559</v>
      </c>
      <c r="K2191" s="2" t="s">
        <v>10584</v>
      </c>
      <c r="P2191" s="7" t="s">
        <v>1241</v>
      </c>
      <c r="AV2191" s="1" t="s">
        <v>38</v>
      </c>
      <c r="BG2191" s="7" t="s">
        <v>1242</v>
      </c>
    </row>
    <row r="2192" spans="1:59" ht="198" x14ac:dyDescent="0.45">
      <c r="A2192" s="5">
        <v>2191</v>
      </c>
      <c r="B2192" s="1" t="s">
        <v>11353</v>
      </c>
      <c r="C2192" s="6"/>
      <c r="E2192" s="1"/>
      <c r="F2192" s="1"/>
      <c r="G2192" s="1"/>
      <c r="J2192" s="1" t="s">
        <v>7559</v>
      </c>
      <c r="K2192" s="2" t="s">
        <v>10585</v>
      </c>
      <c r="P2192" s="7" t="s">
        <v>1241</v>
      </c>
      <c r="AV2192" s="1" t="s">
        <v>38</v>
      </c>
      <c r="BG2192" s="7" t="s">
        <v>1242</v>
      </c>
    </row>
    <row r="2193" spans="1:59" ht="144" x14ac:dyDescent="0.45">
      <c r="A2193" s="5">
        <v>2192</v>
      </c>
      <c r="B2193" s="1" t="s">
        <v>11354</v>
      </c>
      <c r="C2193" s="6"/>
      <c r="E2193" s="1"/>
      <c r="F2193" s="1"/>
      <c r="G2193" s="1"/>
      <c r="J2193" s="1" t="s">
        <v>7559</v>
      </c>
      <c r="K2193" s="2" t="s">
        <v>10586</v>
      </c>
      <c r="P2193" s="7" t="s">
        <v>1241</v>
      </c>
      <c r="AV2193" s="1" t="s">
        <v>38</v>
      </c>
      <c r="BG2193" s="7" t="s">
        <v>1242</v>
      </c>
    </row>
    <row r="2194" spans="1:59" ht="126" x14ac:dyDescent="0.45">
      <c r="A2194" s="5">
        <v>2193</v>
      </c>
      <c r="B2194" s="1" t="s">
        <v>11355</v>
      </c>
      <c r="C2194" s="6"/>
      <c r="E2194" s="1"/>
      <c r="F2194" s="1"/>
      <c r="G2194" s="1"/>
      <c r="J2194" s="1" t="s">
        <v>7559</v>
      </c>
      <c r="K2194" s="2" t="s">
        <v>11746</v>
      </c>
      <c r="P2194" s="7" t="s">
        <v>1241</v>
      </c>
      <c r="AV2194" s="1" t="s">
        <v>38</v>
      </c>
      <c r="BG2194" s="7" t="s">
        <v>1242</v>
      </c>
    </row>
    <row r="2195" spans="1:59" ht="216" x14ac:dyDescent="0.45">
      <c r="A2195" s="5">
        <v>2194</v>
      </c>
      <c r="B2195" s="1" t="s">
        <v>11356</v>
      </c>
      <c r="C2195" s="6"/>
      <c r="E2195" s="1"/>
      <c r="F2195" s="1"/>
      <c r="G2195" s="1"/>
      <c r="J2195" s="1" t="s">
        <v>7559</v>
      </c>
      <c r="K2195" s="2" t="s">
        <v>10587</v>
      </c>
      <c r="P2195" s="7" t="s">
        <v>1241</v>
      </c>
      <c r="AV2195" s="1" t="s">
        <v>38</v>
      </c>
      <c r="BG2195" s="7" t="s">
        <v>1242</v>
      </c>
    </row>
    <row r="2196" spans="1:59" ht="126" x14ac:dyDescent="0.45">
      <c r="A2196" s="5">
        <v>2195</v>
      </c>
      <c r="B2196" s="1" t="s">
        <v>11357</v>
      </c>
      <c r="C2196" s="6"/>
      <c r="E2196" s="1"/>
      <c r="F2196" s="1"/>
      <c r="G2196" s="1"/>
      <c r="J2196" s="1" t="s">
        <v>7559</v>
      </c>
      <c r="K2196" s="2" t="s">
        <v>11747</v>
      </c>
      <c r="P2196" s="7" t="s">
        <v>1241</v>
      </c>
      <c r="AV2196" s="1" t="s">
        <v>38</v>
      </c>
      <c r="BG2196" s="7" t="s">
        <v>1242</v>
      </c>
    </row>
    <row r="2197" spans="1:59" ht="144" x14ac:dyDescent="0.45">
      <c r="A2197" s="5">
        <v>2196</v>
      </c>
      <c r="B2197" s="1" t="s">
        <v>11358</v>
      </c>
      <c r="C2197" s="6"/>
      <c r="E2197" s="1"/>
      <c r="F2197" s="1"/>
      <c r="G2197" s="1"/>
      <c r="J2197" s="1" t="s">
        <v>7559</v>
      </c>
      <c r="K2197" s="2" t="s">
        <v>11731</v>
      </c>
      <c r="P2197" s="7" t="s">
        <v>1241</v>
      </c>
      <c r="AV2197" s="1" t="s">
        <v>38</v>
      </c>
      <c r="BG2197" s="7" t="s">
        <v>1242</v>
      </c>
    </row>
    <row r="2198" spans="1:59" ht="180" x14ac:dyDescent="0.45">
      <c r="A2198" s="5">
        <v>2197</v>
      </c>
      <c r="B2198" s="1" t="s">
        <v>11359</v>
      </c>
      <c r="C2198" s="6"/>
      <c r="E2198" s="1"/>
      <c r="F2198" s="1"/>
      <c r="G2198" s="1"/>
      <c r="J2198" s="1" t="s">
        <v>7559</v>
      </c>
      <c r="K2198" s="2" t="s">
        <v>10588</v>
      </c>
      <c r="P2198" s="7" t="s">
        <v>1241</v>
      </c>
      <c r="AV2198" s="1" t="s">
        <v>38</v>
      </c>
      <c r="BG2198" s="7" t="s">
        <v>1242</v>
      </c>
    </row>
    <row r="2199" spans="1:59" ht="144" x14ac:dyDescent="0.45">
      <c r="A2199" s="5">
        <v>2198</v>
      </c>
      <c r="B2199" s="1" t="s">
        <v>11360</v>
      </c>
      <c r="C2199" s="6"/>
      <c r="E2199" s="1"/>
      <c r="F2199" s="1"/>
      <c r="G2199" s="1"/>
      <c r="J2199" s="1" t="s">
        <v>7559</v>
      </c>
      <c r="K2199" s="2" t="s">
        <v>10589</v>
      </c>
      <c r="P2199" s="7" t="s">
        <v>1241</v>
      </c>
      <c r="AV2199" s="1" t="s">
        <v>38</v>
      </c>
      <c r="BG2199" s="7" t="s">
        <v>1242</v>
      </c>
    </row>
    <row r="2200" spans="1:59" ht="126" x14ac:dyDescent="0.45">
      <c r="A2200" s="5">
        <v>2199</v>
      </c>
      <c r="B2200" s="1" t="s">
        <v>11361</v>
      </c>
      <c r="C2200" s="6"/>
      <c r="E2200" s="1"/>
      <c r="F2200" s="1"/>
      <c r="G2200" s="1"/>
      <c r="J2200" s="1" t="s">
        <v>7559</v>
      </c>
      <c r="K2200" s="2" t="s">
        <v>10590</v>
      </c>
      <c r="P2200" s="7" t="s">
        <v>1241</v>
      </c>
      <c r="AV2200" s="1" t="s">
        <v>38</v>
      </c>
      <c r="BG2200" s="7" t="s">
        <v>1242</v>
      </c>
    </row>
    <row r="2201" spans="1:59" ht="234" x14ac:dyDescent="0.45">
      <c r="A2201" s="5">
        <v>2200</v>
      </c>
      <c r="B2201" s="1" t="s">
        <v>11362</v>
      </c>
      <c r="C2201" s="6"/>
      <c r="E2201" s="1"/>
      <c r="F2201" s="1"/>
      <c r="G2201" s="1"/>
      <c r="J2201" s="1" t="s">
        <v>7559</v>
      </c>
      <c r="K2201" s="2" t="s">
        <v>10591</v>
      </c>
      <c r="P2201" s="7" t="s">
        <v>1241</v>
      </c>
      <c r="AV2201" s="1" t="s">
        <v>38</v>
      </c>
      <c r="BG2201" s="7" t="s">
        <v>1242</v>
      </c>
    </row>
    <row r="2202" spans="1:59" ht="306" x14ac:dyDescent="0.45">
      <c r="A2202" s="5">
        <v>2201</v>
      </c>
      <c r="B2202" s="1" t="s">
        <v>11363</v>
      </c>
      <c r="C2202" s="6"/>
      <c r="E2202" s="1"/>
      <c r="F2202" s="1"/>
      <c r="G2202" s="1"/>
      <c r="J2202" s="1" t="s">
        <v>7559</v>
      </c>
      <c r="K2202" s="2" t="s">
        <v>10592</v>
      </c>
      <c r="P2202" s="7" t="s">
        <v>1241</v>
      </c>
      <c r="AV2202" s="1" t="s">
        <v>38</v>
      </c>
      <c r="BG2202" s="7" t="s">
        <v>1242</v>
      </c>
    </row>
    <row r="2203" spans="1:59" ht="144" x14ac:dyDescent="0.45">
      <c r="A2203" s="5">
        <v>2202</v>
      </c>
      <c r="B2203" s="1" t="s">
        <v>11364</v>
      </c>
      <c r="C2203" s="6"/>
      <c r="E2203" s="1"/>
      <c r="F2203" s="1"/>
      <c r="G2203" s="1"/>
      <c r="J2203" s="1" t="s">
        <v>7559</v>
      </c>
      <c r="K2203" s="2" t="s">
        <v>11748</v>
      </c>
      <c r="P2203" s="7" t="s">
        <v>1241</v>
      </c>
      <c r="AV2203" s="1" t="s">
        <v>38</v>
      </c>
      <c r="BG2203" s="7" t="s">
        <v>1242</v>
      </c>
    </row>
    <row r="2204" spans="1:59" ht="409.6" x14ac:dyDescent="0.45">
      <c r="A2204" s="5">
        <v>2203</v>
      </c>
      <c r="B2204" s="1" t="s">
        <v>11365</v>
      </c>
      <c r="C2204" s="6"/>
      <c r="E2204" s="1"/>
      <c r="F2204" s="1"/>
      <c r="G2204" s="1"/>
      <c r="J2204" s="1" t="s">
        <v>7559</v>
      </c>
      <c r="K2204" s="2" t="s">
        <v>10593</v>
      </c>
      <c r="P2204" s="7" t="s">
        <v>1241</v>
      </c>
      <c r="AV2204" s="1" t="s">
        <v>38</v>
      </c>
      <c r="BG2204" s="7" t="s">
        <v>1242</v>
      </c>
    </row>
    <row r="2205" spans="1:59" ht="144" x14ac:dyDescent="0.45">
      <c r="A2205" s="5">
        <v>2204</v>
      </c>
      <c r="B2205" s="1" t="s">
        <v>11366</v>
      </c>
      <c r="C2205" s="6"/>
      <c r="E2205" s="1"/>
      <c r="F2205" s="1"/>
      <c r="G2205" s="1"/>
      <c r="J2205" s="1" t="s">
        <v>7559</v>
      </c>
      <c r="K2205" s="2" t="s">
        <v>10594</v>
      </c>
      <c r="P2205" s="7" t="s">
        <v>1241</v>
      </c>
      <c r="AV2205" s="1" t="s">
        <v>38</v>
      </c>
      <c r="BG2205" s="7" t="s">
        <v>1242</v>
      </c>
    </row>
    <row r="2206" spans="1:59" ht="409.6" x14ac:dyDescent="0.45">
      <c r="A2206" s="5">
        <v>2205</v>
      </c>
      <c r="B2206" s="1" t="s">
        <v>11367</v>
      </c>
      <c r="C2206" s="6"/>
      <c r="E2206" s="1"/>
      <c r="F2206" s="1"/>
      <c r="G2206" s="1"/>
      <c r="J2206" s="1" t="s">
        <v>7559</v>
      </c>
      <c r="K2206" s="2" t="s">
        <v>10595</v>
      </c>
      <c r="P2206" s="7" t="s">
        <v>1241</v>
      </c>
      <c r="AV2206" s="1" t="s">
        <v>38</v>
      </c>
      <c r="BG2206" s="7" t="s">
        <v>1242</v>
      </c>
    </row>
    <row r="2207" spans="1:59" ht="162" x14ac:dyDescent="0.45">
      <c r="A2207" s="5">
        <v>2206</v>
      </c>
      <c r="B2207" s="1" t="s">
        <v>11368</v>
      </c>
      <c r="C2207" s="6"/>
      <c r="E2207" s="1"/>
      <c r="F2207" s="1"/>
      <c r="G2207" s="1"/>
      <c r="J2207" s="1" t="s">
        <v>7559</v>
      </c>
      <c r="K2207" s="2" t="s">
        <v>11749</v>
      </c>
      <c r="P2207" s="7" t="s">
        <v>1241</v>
      </c>
      <c r="AV2207" s="1" t="s">
        <v>38</v>
      </c>
      <c r="BG2207" s="7" t="s">
        <v>1242</v>
      </c>
    </row>
    <row r="2208" spans="1:59" ht="270" x14ac:dyDescent="0.45">
      <c r="A2208" s="5">
        <v>2207</v>
      </c>
      <c r="B2208" s="1" t="s">
        <v>11369</v>
      </c>
      <c r="C2208" s="6"/>
      <c r="E2208" s="1"/>
      <c r="F2208" s="1"/>
      <c r="G2208" s="1"/>
      <c r="J2208" s="1" t="s">
        <v>7559</v>
      </c>
      <c r="K2208" s="2" t="s">
        <v>10596</v>
      </c>
      <c r="P2208" s="7" t="s">
        <v>1241</v>
      </c>
      <c r="AV2208" s="1" t="s">
        <v>38</v>
      </c>
      <c r="BG2208" s="7" t="s">
        <v>1242</v>
      </c>
    </row>
    <row r="2209" spans="1:59" ht="306" x14ac:dyDescent="0.45">
      <c r="A2209" s="5">
        <v>2208</v>
      </c>
      <c r="B2209" s="1" t="s">
        <v>11370</v>
      </c>
      <c r="C2209" s="6"/>
      <c r="E2209" s="1"/>
      <c r="F2209" s="1"/>
      <c r="G2209" s="1"/>
      <c r="J2209" s="1" t="s">
        <v>7559</v>
      </c>
      <c r="K2209" s="2" t="s">
        <v>10597</v>
      </c>
      <c r="P2209" s="7" t="s">
        <v>1241</v>
      </c>
      <c r="AV2209" s="1" t="s">
        <v>38</v>
      </c>
      <c r="BG2209" s="7" t="s">
        <v>1242</v>
      </c>
    </row>
    <row r="2210" spans="1:59" ht="252" x14ac:dyDescent="0.45">
      <c r="A2210" s="5">
        <v>2209</v>
      </c>
      <c r="B2210" s="1" t="s">
        <v>11371</v>
      </c>
      <c r="C2210" s="6"/>
      <c r="E2210" s="1"/>
      <c r="F2210" s="1"/>
      <c r="G2210" s="1"/>
      <c r="J2210" s="1" t="s">
        <v>7559</v>
      </c>
      <c r="K2210" s="2" t="s">
        <v>10598</v>
      </c>
      <c r="P2210" s="7" t="s">
        <v>1241</v>
      </c>
      <c r="AV2210" s="1" t="s">
        <v>38</v>
      </c>
      <c r="BG2210" s="7" t="s">
        <v>1242</v>
      </c>
    </row>
    <row r="2211" spans="1:59" ht="216" x14ac:dyDescent="0.45">
      <c r="A2211" s="5">
        <v>2210</v>
      </c>
      <c r="B2211" s="1" t="s">
        <v>11372</v>
      </c>
      <c r="C2211" s="6"/>
      <c r="E2211" s="1"/>
      <c r="F2211" s="1"/>
      <c r="G2211" s="1"/>
      <c r="J2211" s="1" t="s">
        <v>7559</v>
      </c>
      <c r="K2211" s="2" t="s">
        <v>10599</v>
      </c>
      <c r="P2211" s="7" t="s">
        <v>1241</v>
      </c>
      <c r="AV2211" s="1" t="s">
        <v>38</v>
      </c>
      <c r="BG2211" s="7" t="s">
        <v>1242</v>
      </c>
    </row>
    <row r="2212" spans="1:59" ht="409.6" x14ac:dyDescent="0.45">
      <c r="A2212" s="5">
        <v>2211</v>
      </c>
      <c r="B2212" s="1" t="s">
        <v>11373</v>
      </c>
      <c r="C2212" s="6"/>
      <c r="E2212" s="1"/>
      <c r="F2212" s="1"/>
      <c r="G2212" s="1"/>
      <c r="J2212" s="1" t="s">
        <v>7559</v>
      </c>
      <c r="K2212" s="2" t="s">
        <v>11750</v>
      </c>
      <c r="P2212" s="7" t="s">
        <v>1241</v>
      </c>
      <c r="AV2212" s="1" t="s">
        <v>38</v>
      </c>
      <c r="BG2212" s="7" t="s">
        <v>1242</v>
      </c>
    </row>
    <row r="2213" spans="1:59" ht="126" x14ac:dyDescent="0.45">
      <c r="A2213" s="5">
        <v>2212</v>
      </c>
      <c r="B2213" s="1" t="s">
        <v>11374</v>
      </c>
      <c r="C2213" s="6"/>
      <c r="E2213" s="1"/>
      <c r="F2213" s="1"/>
      <c r="G2213" s="1"/>
      <c r="J2213" s="1" t="s">
        <v>7559</v>
      </c>
      <c r="K2213" s="2" t="s">
        <v>10600</v>
      </c>
      <c r="P2213" s="7" t="s">
        <v>1241</v>
      </c>
      <c r="AV2213" s="1" t="s">
        <v>38</v>
      </c>
      <c r="BG2213" s="7" t="s">
        <v>1242</v>
      </c>
    </row>
    <row r="2214" spans="1:59" ht="270" x14ac:dyDescent="0.45">
      <c r="A2214" s="5">
        <v>2213</v>
      </c>
      <c r="B2214" s="1" t="s">
        <v>11375</v>
      </c>
      <c r="C2214" s="6"/>
      <c r="E2214" s="1"/>
      <c r="F2214" s="1"/>
      <c r="G2214" s="1"/>
      <c r="J2214" s="1" t="s">
        <v>7559</v>
      </c>
      <c r="K2214" s="2" t="s">
        <v>11751</v>
      </c>
      <c r="P2214" s="7" t="s">
        <v>1241</v>
      </c>
      <c r="AV2214" s="1" t="s">
        <v>38</v>
      </c>
      <c r="BG2214" s="7" t="s">
        <v>1242</v>
      </c>
    </row>
    <row r="2215" spans="1:59" ht="306" x14ac:dyDescent="0.45">
      <c r="A2215" s="5">
        <v>2214</v>
      </c>
      <c r="B2215" s="1" t="s">
        <v>11376</v>
      </c>
      <c r="C2215" s="6"/>
      <c r="E2215" s="1"/>
      <c r="F2215" s="1"/>
      <c r="G2215" s="1"/>
      <c r="J2215" s="1" t="s">
        <v>7559</v>
      </c>
      <c r="K2215" s="2" t="s">
        <v>10601</v>
      </c>
      <c r="P2215" s="7" t="s">
        <v>1241</v>
      </c>
      <c r="AV2215" s="1" t="s">
        <v>38</v>
      </c>
      <c r="BG2215" s="7" t="s">
        <v>1242</v>
      </c>
    </row>
    <row r="2216" spans="1:59" ht="198" x14ac:dyDescent="0.45">
      <c r="A2216" s="5">
        <v>2215</v>
      </c>
      <c r="B2216" s="1" t="s">
        <v>11377</v>
      </c>
      <c r="C2216" s="6"/>
      <c r="E2216" s="1"/>
      <c r="F2216" s="1"/>
      <c r="G2216" s="1"/>
      <c r="J2216" s="1" t="s">
        <v>7559</v>
      </c>
      <c r="K2216" s="2" t="s">
        <v>10602</v>
      </c>
      <c r="P2216" s="7" t="s">
        <v>1241</v>
      </c>
      <c r="AV2216" s="1" t="s">
        <v>38</v>
      </c>
      <c r="BG2216" s="7" t="s">
        <v>1242</v>
      </c>
    </row>
    <row r="2217" spans="1:59" ht="252" x14ac:dyDescent="0.45">
      <c r="A2217" s="5">
        <v>2216</v>
      </c>
      <c r="B2217" s="1" t="s">
        <v>11378</v>
      </c>
      <c r="C2217" s="6"/>
      <c r="E2217" s="1"/>
      <c r="F2217" s="1"/>
      <c r="G2217" s="1"/>
      <c r="J2217" s="1" t="s">
        <v>7559</v>
      </c>
      <c r="K2217" s="2" t="s">
        <v>10603</v>
      </c>
      <c r="P2217" s="7" t="s">
        <v>1241</v>
      </c>
      <c r="AV2217" s="1" t="s">
        <v>38</v>
      </c>
      <c r="BG2217" s="7" t="s">
        <v>1242</v>
      </c>
    </row>
    <row r="2218" spans="1:59" ht="270" x14ac:dyDescent="0.45">
      <c r="A2218" s="5">
        <v>2217</v>
      </c>
      <c r="B2218" s="1" t="s">
        <v>11379</v>
      </c>
      <c r="C2218" s="6"/>
      <c r="E2218" s="1"/>
      <c r="F2218" s="1"/>
      <c r="G2218" s="1"/>
      <c r="J2218" s="1" t="s">
        <v>7559</v>
      </c>
      <c r="K2218" s="2" t="s">
        <v>10604</v>
      </c>
      <c r="P2218" s="7" t="s">
        <v>1241</v>
      </c>
      <c r="AV2218" s="1" t="s">
        <v>38</v>
      </c>
      <c r="BG2218" s="7" t="s">
        <v>1242</v>
      </c>
    </row>
    <row r="2219" spans="1:59" ht="324" x14ac:dyDescent="0.45">
      <c r="A2219" s="5">
        <v>2218</v>
      </c>
      <c r="B2219" s="1" t="s">
        <v>11380</v>
      </c>
      <c r="C2219" s="6"/>
      <c r="E2219" s="1"/>
      <c r="F2219" s="1"/>
      <c r="G2219" s="1"/>
      <c r="J2219" s="1" t="s">
        <v>7559</v>
      </c>
      <c r="K2219" s="2" t="s">
        <v>10605</v>
      </c>
      <c r="P2219" s="7" t="s">
        <v>1241</v>
      </c>
      <c r="AV2219" s="1" t="s">
        <v>38</v>
      </c>
      <c r="BG2219" s="7" t="s">
        <v>1242</v>
      </c>
    </row>
    <row r="2220" spans="1:59" ht="126" x14ac:dyDescent="0.45">
      <c r="A2220" s="5">
        <v>2219</v>
      </c>
      <c r="B2220" s="1" t="s">
        <v>11381</v>
      </c>
      <c r="C2220" s="6"/>
      <c r="E2220" s="1"/>
      <c r="F2220" s="1"/>
      <c r="G2220" s="1"/>
      <c r="J2220" s="1" t="s">
        <v>7559</v>
      </c>
      <c r="K2220" s="2" t="s">
        <v>10606</v>
      </c>
      <c r="P2220" s="7" t="s">
        <v>1241</v>
      </c>
      <c r="AV2220" s="1" t="s">
        <v>38</v>
      </c>
      <c r="BG2220" s="7" t="s">
        <v>1242</v>
      </c>
    </row>
    <row r="2221" spans="1:59" ht="216" x14ac:dyDescent="0.45">
      <c r="A2221" s="5">
        <v>2220</v>
      </c>
      <c r="B2221" s="1" t="s">
        <v>11382</v>
      </c>
      <c r="C2221" s="6"/>
      <c r="E2221" s="1"/>
      <c r="F2221" s="1"/>
      <c r="G2221" s="1"/>
      <c r="J2221" s="1" t="s">
        <v>7559</v>
      </c>
      <c r="K2221" s="2" t="s">
        <v>10607</v>
      </c>
      <c r="P2221" s="7" t="s">
        <v>1241</v>
      </c>
      <c r="AV2221" s="1" t="s">
        <v>38</v>
      </c>
      <c r="BG2221" s="7" t="s">
        <v>1242</v>
      </c>
    </row>
    <row r="2222" spans="1:59" ht="324" x14ac:dyDescent="0.45">
      <c r="A2222" s="5">
        <v>2221</v>
      </c>
      <c r="B2222" s="1" t="s">
        <v>11383</v>
      </c>
      <c r="C2222" s="6"/>
      <c r="E2222" s="1"/>
      <c r="F2222" s="1"/>
      <c r="G2222" s="1"/>
      <c r="J2222" s="1" t="s">
        <v>7559</v>
      </c>
      <c r="K2222" s="2" t="s">
        <v>10608</v>
      </c>
      <c r="P2222" s="7" t="s">
        <v>1241</v>
      </c>
      <c r="AV2222" s="1" t="s">
        <v>38</v>
      </c>
      <c r="BG2222" s="7" t="s">
        <v>1242</v>
      </c>
    </row>
    <row r="2223" spans="1:59" ht="144" x14ac:dyDescent="0.45">
      <c r="A2223" s="5">
        <v>2222</v>
      </c>
      <c r="B2223" s="1" t="s">
        <v>11384</v>
      </c>
      <c r="C2223" s="6"/>
      <c r="E2223" s="1"/>
      <c r="F2223" s="1"/>
      <c r="G2223" s="1"/>
      <c r="J2223" s="1" t="s">
        <v>7559</v>
      </c>
      <c r="K2223" s="2" t="s">
        <v>10609</v>
      </c>
      <c r="P2223" s="7" t="s">
        <v>1241</v>
      </c>
      <c r="AV2223" s="1" t="s">
        <v>38</v>
      </c>
      <c r="BG2223" s="7" t="s">
        <v>1242</v>
      </c>
    </row>
    <row r="2224" spans="1:59" ht="306" x14ac:dyDescent="0.45">
      <c r="A2224" s="5">
        <v>2223</v>
      </c>
      <c r="B2224" s="1" t="s">
        <v>11385</v>
      </c>
      <c r="C2224" s="6"/>
      <c r="E2224" s="1"/>
      <c r="F2224" s="1"/>
      <c r="G2224" s="1"/>
      <c r="J2224" s="1" t="s">
        <v>7559</v>
      </c>
      <c r="K2224" s="2" t="s">
        <v>10610</v>
      </c>
      <c r="P2224" s="7" t="s">
        <v>1241</v>
      </c>
      <c r="AV2224" s="1" t="s">
        <v>38</v>
      </c>
      <c r="BG2224" s="7" t="s">
        <v>1242</v>
      </c>
    </row>
    <row r="2225" spans="1:59" ht="409.6" x14ac:dyDescent="0.45">
      <c r="A2225" s="5">
        <v>2224</v>
      </c>
      <c r="B2225" s="1" t="s">
        <v>11386</v>
      </c>
      <c r="C2225" s="6"/>
      <c r="E2225" s="1"/>
      <c r="F2225" s="1"/>
      <c r="G2225" s="1"/>
      <c r="J2225" s="1" t="s">
        <v>7559</v>
      </c>
      <c r="K2225" s="11" t="s">
        <v>12048</v>
      </c>
      <c r="P2225" s="7" t="s">
        <v>1241</v>
      </c>
      <c r="AV2225" s="1" t="s">
        <v>38</v>
      </c>
      <c r="BG2225" s="7" t="s">
        <v>1242</v>
      </c>
    </row>
    <row r="2226" spans="1:59" ht="144" x14ac:dyDescent="0.45">
      <c r="A2226" s="5">
        <v>2225</v>
      </c>
      <c r="B2226" s="1" t="s">
        <v>11387</v>
      </c>
      <c r="C2226" s="6"/>
      <c r="E2226" s="1"/>
      <c r="F2226" s="1"/>
      <c r="G2226" s="1"/>
      <c r="J2226" s="1" t="s">
        <v>7559</v>
      </c>
      <c r="K2226" s="2" t="s">
        <v>10611</v>
      </c>
      <c r="P2226" s="7" t="s">
        <v>1241</v>
      </c>
      <c r="AV2226" s="1" t="s">
        <v>38</v>
      </c>
      <c r="BG2226" s="7" t="s">
        <v>1242</v>
      </c>
    </row>
    <row r="2227" spans="1:59" ht="198" x14ac:dyDescent="0.45">
      <c r="A2227" s="5">
        <v>2226</v>
      </c>
      <c r="B2227" s="1" t="s">
        <v>11388</v>
      </c>
      <c r="C2227" s="6"/>
      <c r="E2227" s="1"/>
      <c r="F2227" s="1"/>
      <c r="G2227" s="1"/>
      <c r="J2227" s="1" t="s">
        <v>7559</v>
      </c>
      <c r="K2227" s="2" t="s">
        <v>10612</v>
      </c>
      <c r="P2227" s="7" t="s">
        <v>1241</v>
      </c>
      <c r="AV2227" s="1" t="s">
        <v>38</v>
      </c>
      <c r="BG2227" s="7" t="s">
        <v>1242</v>
      </c>
    </row>
    <row r="2228" spans="1:59" ht="180" x14ac:dyDescent="0.45">
      <c r="A2228" s="5">
        <v>2227</v>
      </c>
      <c r="B2228" s="1" t="s">
        <v>11389</v>
      </c>
      <c r="C2228" s="6"/>
      <c r="E2228" s="1"/>
      <c r="F2228" s="1"/>
      <c r="G2228" s="1"/>
      <c r="J2228" s="1" t="s">
        <v>7559</v>
      </c>
      <c r="K2228" s="2" t="s">
        <v>11732</v>
      </c>
      <c r="P2228" s="7" t="s">
        <v>1241</v>
      </c>
      <c r="AV2228" s="1" t="s">
        <v>38</v>
      </c>
      <c r="BG2228" s="7" t="s">
        <v>1242</v>
      </c>
    </row>
    <row r="2229" spans="1:59" ht="126" x14ac:dyDescent="0.45">
      <c r="A2229" s="5">
        <v>2228</v>
      </c>
      <c r="B2229" s="1" t="s">
        <v>11390</v>
      </c>
      <c r="C2229" s="6"/>
      <c r="E2229" s="1"/>
      <c r="F2229" s="1"/>
      <c r="G2229" s="1"/>
      <c r="J2229" s="1" t="s">
        <v>7559</v>
      </c>
      <c r="K2229" s="2" t="s">
        <v>10613</v>
      </c>
      <c r="P2229" s="7" t="s">
        <v>1241</v>
      </c>
      <c r="AV2229" s="1" t="s">
        <v>38</v>
      </c>
      <c r="BG2229" s="7" t="s">
        <v>1242</v>
      </c>
    </row>
    <row r="2230" spans="1:59" ht="409.6" x14ac:dyDescent="0.45">
      <c r="A2230" s="5">
        <v>2229</v>
      </c>
      <c r="B2230" s="1" t="s">
        <v>11391</v>
      </c>
      <c r="C2230" s="6"/>
      <c r="E2230" s="1"/>
      <c r="F2230" s="1"/>
      <c r="G2230" s="1"/>
      <c r="J2230" s="1" t="s">
        <v>7559</v>
      </c>
      <c r="K2230" s="2" t="s">
        <v>11733</v>
      </c>
      <c r="P2230" s="7" t="s">
        <v>1241</v>
      </c>
      <c r="AV2230" s="1" t="s">
        <v>38</v>
      </c>
      <c r="BG2230" s="7" t="s">
        <v>1242</v>
      </c>
    </row>
    <row r="2231" spans="1:59" ht="216" x14ac:dyDescent="0.45">
      <c r="A2231" s="5">
        <v>2230</v>
      </c>
      <c r="B2231" s="1" t="s">
        <v>11392</v>
      </c>
      <c r="C2231" s="6"/>
      <c r="E2231" s="1"/>
      <c r="F2231" s="1"/>
      <c r="G2231" s="1"/>
      <c r="J2231" s="1" t="s">
        <v>7559</v>
      </c>
      <c r="K2231" s="2" t="s">
        <v>11734</v>
      </c>
      <c r="P2231" s="7" t="s">
        <v>1241</v>
      </c>
      <c r="AV2231" s="1" t="s">
        <v>38</v>
      </c>
      <c r="BG2231" s="7" t="s">
        <v>1242</v>
      </c>
    </row>
    <row r="2232" spans="1:59" ht="180" x14ac:dyDescent="0.45">
      <c r="A2232" s="5">
        <v>2231</v>
      </c>
      <c r="B2232" s="1" t="s">
        <v>11393</v>
      </c>
      <c r="C2232" s="6"/>
      <c r="E2232" s="1"/>
      <c r="F2232" s="1"/>
      <c r="G2232" s="1"/>
      <c r="J2232" s="1" t="s">
        <v>7559</v>
      </c>
      <c r="K2232" s="2" t="s">
        <v>11735</v>
      </c>
      <c r="P2232" s="7" t="s">
        <v>1241</v>
      </c>
      <c r="AV2232" s="1" t="s">
        <v>38</v>
      </c>
      <c r="BG2232" s="7" t="s">
        <v>1242</v>
      </c>
    </row>
    <row r="2233" spans="1:59" ht="306" x14ac:dyDescent="0.45">
      <c r="A2233" s="5">
        <v>2232</v>
      </c>
      <c r="B2233" s="1" t="s">
        <v>11394</v>
      </c>
      <c r="C2233" s="6"/>
      <c r="E2233" s="1"/>
      <c r="F2233" s="1"/>
      <c r="G2233" s="1"/>
      <c r="J2233" s="1" t="s">
        <v>7559</v>
      </c>
      <c r="K2233" s="2" t="s">
        <v>11752</v>
      </c>
      <c r="P2233" s="7" t="s">
        <v>1241</v>
      </c>
      <c r="AV2233" s="1" t="s">
        <v>38</v>
      </c>
      <c r="BG2233" s="7" t="s">
        <v>1242</v>
      </c>
    </row>
    <row r="2234" spans="1:59" ht="288" x14ac:dyDescent="0.45">
      <c r="A2234" s="5">
        <v>2233</v>
      </c>
      <c r="B2234" s="1" t="s">
        <v>11395</v>
      </c>
      <c r="C2234" s="6"/>
      <c r="E2234" s="1"/>
      <c r="F2234" s="1"/>
      <c r="G2234" s="1"/>
      <c r="J2234" s="1" t="s">
        <v>7559</v>
      </c>
      <c r="K2234" s="2" t="s">
        <v>10615</v>
      </c>
      <c r="P2234" s="7" t="s">
        <v>1241</v>
      </c>
      <c r="AV2234" s="1" t="s">
        <v>38</v>
      </c>
      <c r="BG2234" s="7" t="s">
        <v>1242</v>
      </c>
    </row>
    <row r="2235" spans="1:59" ht="324" x14ac:dyDescent="0.45">
      <c r="A2235" s="5">
        <v>2234</v>
      </c>
      <c r="B2235" s="1" t="s">
        <v>11396</v>
      </c>
      <c r="C2235" s="6"/>
      <c r="E2235" s="1"/>
      <c r="F2235" s="1"/>
      <c r="G2235" s="1"/>
      <c r="J2235" s="1" t="s">
        <v>7559</v>
      </c>
      <c r="K2235" s="2" t="s">
        <v>10616</v>
      </c>
      <c r="P2235" s="7" t="s">
        <v>1241</v>
      </c>
      <c r="AV2235" s="1" t="s">
        <v>38</v>
      </c>
      <c r="BG2235" s="7" t="s">
        <v>1242</v>
      </c>
    </row>
    <row r="2236" spans="1:59" ht="144" x14ac:dyDescent="0.45">
      <c r="A2236" s="5">
        <v>2235</v>
      </c>
      <c r="B2236" s="1" t="s">
        <v>11397</v>
      </c>
      <c r="C2236" s="6"/>
      <c r="E2236" s="1"/>
      <c r="F2236" s="1"/>
      <c r="G2236" s="1"/>
      <c r="J2236" s="1" t="s">
        <v>7559</v>
      </c>
      <c r="K2236" s="2" t="s">
        <v>10617</v>
      </c>
      <c r="P2236" s="7" t="s">
        <v>1241</v>
      </c>
      <c r="AV2236" s="1" t="s">
        <v>38</v>
      </c>
      <c r="BG2236" s="7" t="s">
        <v>1242</v>
      </c>
    </row>
    <row r="2237" spans="1:59" ht="409.6" x14ac:dyDescent="0.45">
      <c r="A2237" s="5">
        <v>2236</v>
      </c>
      <c r="B2237" s="1" t="s">
        <v>11398</v>
      </c>
      <c r="C2237" s="6"/>
      <c r="E2237" s="1"/>
      <c r="F2237" s="1"/>
      <c r="G2237" s="1"/>
      <c r="J2237" s="1" t="s">
        <v>7559</v>
      </c>
      <c r="K2237" s="2" t="s">
        <v>10618</v>
      </c>
      <c r="P2237" s="7" t="s">
        <v>1241</v>
      </c>
      <c r="AV2237" s="1" t="s">
        <v>38</v>
      </c>
      <c r="BG2237" s="7" t="s">
        <v>1242</v>
      </c>
    </row>
    <row r="2238" spans="1:59" ht="216" x14ac:dyDescent="0.45">
      <c r="A2238" s="5">
        <v>2237</v>
      </c>
      <c r="B2238" s="1" t="s">
        <v>11399</v>
      </c>
      <c r="C2238" s="6"/>
      <c r="E2238" s="1"/>
      <c r="F2238" s="1"/>
      <c r="G2238" s="1"/>
      <c r="J2238" s="1" t="s">
        <v>7559</v>
      </c>
      <c r="K2238" s="2" t="s">
        <v>10619</v>
      </c>
      <c r="P2238" s="7" t="s">
        <v>1241</v>
      </c>
      <c r="AV2238" s="1" t="s">
        <v>38</v>
      </c>
      <c r="BG2238" s="7" t="s">
        <v>1242</v>
      </c>
    </row>
    <row r="2239" spans="1:59" ht="198" x14ac:dyDescent="0.45">
      <c r="A2239" s="5">
        <v>2238</v>
      </c>
      <c r="B2239" s="1" t="s">
        <v>11400</v>
      </c>
      <c r="C2239" s="6"/>
      <c r="E2239" s="1"/>
      <c r="F2239" s="1"/>
      <c r="G2239" s="1"/>
      <c r="J2239" s="1" t="s">
        <v>7559</v>
      </c>
      <c r="K2239" s="2" t="s">
        <v>10620</v>
      </c>
      <c r="P2239" s="7" t="s">
        <v>1241</v>
      </c>
      <c r="AV2239" s="1" t="s">
        <v>38</v>
      </c>
      <c r="BG2239" s="7" t="s">
        <v>1242</v>
      </c>
    </row>
    <row r="2240" spans="1:59" ht="342" x14ac:dyDescent="0.45">
      <c r="A2240" s="5">
        <v>2239</v>
      </c>
      <c r="B2240" s="1" t="s">
        <v>11401</v>
      </c>
      <c r="C2240" s="6"/>
      <c r="E2240" s="1"/>
      <c r="F2240" s="1"/>
      <c r="G2240" s="1"/>
      <c r="J2240" s="1" t="s">
        <v>7559</v>
      </c>
      <c r="K2240" s="2" t="s">
        <v>10621</v>
      </c>
      <c r="P2240" s="7" t="s">
        <v>1241</v>
      </c>
      <c r="AV2240" s="1" t="s">
        <v>38</v>
      </c>
      <c r="BG2240" s="7" t="s">
        <v>1242</v>
      </c>
    </row>
    <row r="2241" spans="1:59" ht="409.6" x14ac:dyDescent="0.45">
      <c r="A2241" s="5">
        <v>2240</v>
      </c>
      <c r="B2241" s="1" t="s">
        <v>11402</v>
      </c>
      <c r="C2241" s="6"/>
      <c r="E2241" s="1"/>
      <c r="F2241" s="1"/>
      <c r="G2241" s="1"/>
      <c r="J2241" s="1" t="s">
        <v>7559</v>
      </c>
      <c r="K2241" s="2" t="s">
        <v>11753</v>
      </c>
      <c r="P2241" s="7" t="s">
        <v>1241</v>
      </c>
      <c r="AV2241" s="1" t="s">
        <v>38</v>
      </c>
      <c r="BG2241" s="7" t="s">
        <v>1242</v>
      </c>
    </row>
    <row r="2242" spans="1:59" ht="126" x14ac:dyDescent="0.45">
      <c r="A2242" s="5">
        <v>2241</v>
      </c>
      <c r="B2242" s="1" t="s">
        <v>11403</v>
      </c>
      <c r="C2242" s="6"/>
      <c r="E2242" s="1"/>
      <c r="F2242" s="1"/>
      <c r="G2242" s="1"/>
      <c r="J2242" s="1" t="s">
        <v>7559</v>
      </c>
      <c r="K2242" s="2" t="s">
        <v>10622</v>
      </c>
      <c r="P2242" s="7" t="s">
        <v>1241</v>
      </c>
      <c r="AV2242" s="1" t="s">
        <v>38</v>
      </c>
      <c r="BG2242" s="7" t="s">
        <v>1242</v>
      </c>
    </row>
    <row r="2243" spans="1:59" ht="288" x14ac:dyDescent="0.45">
      <c r="A2243" s="5">
        <v>2242</v>
      </c>
      <c r="B2243" s="1" t="s">
        <v>11404</v>
      </c>
      <c r="C2243" s="6"/>
      <c r="E2243" s="1"/>
      <c r="F2243" s="1"/>
      <c r="G2243" s="1"/>
      <c r="J2243" s="1" t="s">
        <v>7559</v>
      </c>
      <c r="K2243" s="11" t="s">
        <v>12049</v>
      </c>
      <c r="P2243" s="7" t="s">
        <v>1241</v>
      </c>
      <c r="AV2243" s="1" t="s">
        <v>38</v>
      </c>
      <c r="BG2243" s="7" t="s">
        <v>1242</v>
      </c>
    </row>
    <row r="2244" spans="1:59" ht="409.6" x14ac:dyDescent="0.45">
      <c r="A2244" s="5">
        <v>2243</v>
      </c>
      <c r="B2244" s="1" t="s">
        <v>11405</v>
      </c>
      <c r="C2244" s="6"/>
      <c r="E2244" s="1"/>
      <c r="F2244" s="1"/>
      <c r="G2244" s="1"/>
      <c r="J2244" s="1" t="s">
        <v>7559</v>
      </c>
      <c r="K2244" s="2" t="s">
        <v>11754</v>
      </c>
      <c r="P2244" s="7" t="s">
        <v>1241</v>
      </c>
      <c r="AV2244" s="1" t="s">
        <v>38</v>
      </c>
      <c r="BG2244" s="7" t="s">
        <v>1242</v>
      </c>
    </row>
    <row r="2245" spans="1:59" ht="270" x14ac:dyDescent="0.45">
      <c r="A2245" s="5">
        <v>2244</v>
      </c>
      <c r="B2245" s="1" t="s">
        <v>11406</v>
      </c>
      <c r="C2245" s="6"/>
      <c r="E2245" s="1"/>
      <c r="F2245" s="1"/>
      <c r="G2245" s="1"/>
      <c r="J2245" s="1" t="s">
        <v>7559</v>
      </c>
      <c r="K2245" s="11" t="s">
        <v>12050</v>
      </c>
      <c r="P2245" s="7" t="s">
        <v>1241</v>
      </c>
      <c r="AV2245" s="1" t="s">
        <v>38</v>
      </c>
      <c r="BG2245" s="7" t="s">
        <v>1242</v>
      </c>
    </row>
    <row r="2246" spans="1:59" ht="180" x14ac:dyDescent="0.45">
      <c r="A2246" s="5">
        <v>2245</v>
      </c>
      <c r="B2246" s="1" t="s">
        <v>11407</v>
      </c>
      <c r="C2246" s="6"/>
      <c r="E2246" s="1"/>
      <c r="F2246" s="1"/>
      <c r="G2246" s="1"/>
      <c r="J2246" s="1" t="s">
        <v>7559</v>
      </c>
      <c r="K2246" s="2" t="s">
        <v>10623</v>
      </c>
      <c r="P2246" s="7" t="s">
        <v>1241</v>
      </c>
      <c r="AV2246" s="1" t="s">
        <v>38</v>
      </c>
      <c r="BG2246" s="7" t="s">
        <v>1242</v>
      </c>
    </row>
    <row r="2247" spans="1:59" ht="198" x14ac:dyDescent="0.45">
      <c r="A2247" s="5">
        <v>2246</v>
      </c>
      <c r="B2247" s="1" t="s">
        <v>11408</v>
      </c>
      <c r="C2247" s="6"/>
      <c r="E2247" s="1"/>
      <c r="F2247" s="1"/>
      <c r="G2247" s="1"/>
      <c r="J2247" s="1" t="s">
        <v>7559</v>
      </c>
      <c r="K2247" s="2" t="s">
        <v>10624</v>
      </c>
      <c r="P2247" s="7" t="s">
        <v>1241</v>
      </c>
      <c r="AV2247" s="1" t="s">
        <v>38</v>
      </c>
      <c r="BG2247" s="7" t="s">
        <v>1242</v>
      </c>
    </row>
    <row r="2248" spans="1:59" ht="324" x14ac:dyDescent="0.45">
      <c r="A2248" s="5">
        <v>2247</v>
      </c>
      <c r="B2248" s="1" t="s">
        <v>11409</v>
      </c>
      <c r="C2248" s="6"/>
      <c r="E2248" s="1"/>
      <c r="F2248" s="1"/>
      <c r="G2248" s="1"/>
      <c r="J2248" s="1" t="s">
        <v>7559</v>
      </c>
      <c r="K2248" s="11" t="s">
        <v>12051</v>
      </c>
      <c r="P2248" s="7" t="s">
        <v>1241</v>
      </c>
      <c r="AV2248" s="1" t="s">
        <v>38</v>
      </c>
      <c r="BG2248" s="7" t="s">
        <v>1242</v>
      </c>
    </row>
    <row r="2249" spans="1:59" ht="270" x14ac:dyDescent="0.45">
      <c r="A2249" s="5">
        <v>2248</v>
      </c>
      <c r="B2249" s="1" t="s">
        <v>11410</v>
      </c>
      <c r="C2249" s="6"/>
      <c r="E2249" s="1"/>
      <c r="F2249" s="1"/>
      <c r="G2249" s="1"/>
      <c r="J2249" s="1" t="s">
        <v>7559</v>
      </c>
      <c r="K2249" s="11" t="s">
        <v>12052</v>
      </c>
      <c r="P2249" s="7" t="s">
        <v>1241</v>
      </c>
      <c r="AV2249" s="1" t="s">
        <v>38</v>
      </c>
      <c r="BG2249" s="7" t="s">
        <v>1242</v>
      </c>
    </row>
    <row r="2250" spans="1:59" ht="306" x14ac:dyDescent="0.45">
      <c r="A2250" s="5">
        <v>2249</v>
      </c>
      <c r="B2250" s="1" t="s">
        <v>11411</v>
      </c>
      <c r="C2250" s="6"/>
      <c r="E2250" s="1"/>
      <c r="F2250" s="1"/>
      <c r="G2250" s="1"/>
      <c r="J2250" s="1" t="s">
        <v>7559</v>
      </c>
      <c r="K2250" s="2" t="s">
        <v>10625</v>
      </c>
      <c r="P2250" s="7" t="s">
        <v>1241</v>
      </c>
      <c r="AV2250" s="1" t="s">
        <v>38</v>
      </c>
      <c r="BG2250" s="7" t="s">
        <v>1242</v>
      </c>
    </row>
    <row r="2251" spans="1:59" ht="126" x14ac:dyDescent="0.45">
      <c r="A2251" s="5">
        <v>2250</v>
      </c>
      <c r="B2251" s="1" t="s">
        <v>11412</v>
      </c>
      <c r="C2251" s="6"/>
      <c r="E2251" s="1"/>
      <c r="F2251" s="1"/>
      <c r="G2251" s="1"/>
      <c r="J2251" s="1" t="s">
        <v>7559</v>
      </c>
      <c r="K2251" s="2" t="s">
        <v>10626</v>
      </c>
      <c r="P2251" s="7" t="s">
        <v>1241</v>
      </c>
      <c r="AV2251" s="1" t="s">
        <v>38</v>
      </c>
      <c r="BG2251" s="7" t="s">
        <v>1242</v>
      </c>
    </row>
    <row r="2252" spans="1:59" ht="396" x14ac:dyDescent="0.45">
      <c r="A2252" s="5">
        <v>2251</v>
      </c>
      <c r="B2252" s="1" t="s">
        <v>11413</v>
      </c>
      <c r="C2252" s="6"/>
      <c r="E2252" s="1"/>
      <c r="F2252" s="1"/>
      <c r="G2252" s="1"/>
      <c r="J2252" s="1" t="s">
        <v>7559</v>
      </c>
      <c r="K2252" s="11" t="s">
        <v>12053</v>
      </c>
      <c r="P2252" s="7" t="s">
        <v>1241</v>
      </c>
      <c r="AV2252" s="1" t="s">
        <v>38</v>
      </c>
      <c r="BG2252" s="7" t="s">
        <v>1242</v>
      </c>
    </row>
    <row r="2253" spans="1:59" ht="288" x14ac:dyDescent="0.45">
      <c r="A2253" s="5">
        <v>2252</v>
      </c>
      <c r="B2253" s="1" t="s">
        <v>11414</v>
      </c>
      <c r="C2253" s="6"/>
      <c r="E2253" s="1"/>
      <c r="F2253" s="1"/>
      <c r="G2253" s="1"/>
      <c r="J2253" s="1" t="s">
        <v>7559</v>
      </c>
      <c r="K2253" s="2" t="s">
        <v>11736</v>
      </c>
      <c r="P2253" s="7" t="s">
        <v>1241</v>
      </c>
      <c r="AV2253" s="1" t="s">
        <v>38</v>
      </c>
      <c r="BG2253" s="7" t="s">
        <v>1242</v>
      </c>
    </row>
    <row r="2254" spans="1:59" ht="126" x14ac:dyDescent="0.45">
      <c r="A2254" s="5">
        <v>2253</v>
      </c>
      <c r="B2254" s="1" t="s">
        <v>11415</v>
      </c>
      <c r="C2254" s="6"/>
      <c r="E2254" s="1"/>
      <c r="F2254" s="1"/>
      <c r="G2254" s="1"/>
      <c r="J2254" s="1" t="s">
        <v>7559</v>
      </c>
      <c r="K2254" s="2" t="s">
        <v>10627</v>
      </c>
      <c r="P2254" s="7" t="s">
        <v>1241</v>
      </c>
      <c r="AV2254" s="1" t="s">
        <v>38</v>
      </c>
      <c r="BG2254" s="7" t="s">
        <v>1242</v>
      </c>
    </row>
    <row r="2255" spans="1:59" ht="198" x14ac:dyDescent="0.45">
      <c r="A2255" s="5">
        <v>2254</v>
      </c>
      <c r="B2255" s="1" t="s">
        <v>11416</v>
      </c>
      <c r="C2255" s="6"/>
      <c r="E2255" s="1"/>
      <c r="F2255" s="1"/>
      <c r="G2255" s="1"/>
      <c r="J2255" s="1" t="s">
        <v>7559</v>
      </c>
      <c r="K2255" s="2" t="s">
        <v>10628</v>
      </c>
      <c r="P2255" s="7" t="s">
        <v>1241</v>
      </c>
      <c r="AV2255" s="1" t="s">
        <v>38</v>
      </c>
      <c r="BG2255" s="7" t="s">
        <v>1242</v>
      </c>
    </row>
    <row r="2256" spans="1:59" ht="324" x14ac:dyDescent="0.45">
      <c r="A2256" s="5">
        <v>2255</v>
      </c>
      <c r="B2256" s="1" t="s">
        <v>11417</v>
      </c>
      <c r="C2256" s="6"/>
      <c r="E2256" s="1"/>
      <c r="F2256" s="1"/>
      <c r="G2256" s="1"/>
      <c r="J2256" s="1" t="s">
        <v>7559</v>
      </c>
      <c r="K2256" s="2" t="s">
        <v>10629</v>
      </c>
      <c r="P2256" s="7" t="s">
        <v>1241</v>
      </c>
      <c r="AV2256" s="1" t="s">
        <v>38</v>
      </c>
      <c r="BG2256" s="7" t="s">
        <v>1242</v>
      </c>
    </row>
    <row r="2257" spans="1:59" ht="126" x14ac:dyDescent="0.45">
      <c r="A2257" s="5">
        <v>2256</v>
      </c>
      <c r="B2257" s="1" t="s">
        <v>11418</v>
      </c>
      <c r="C2257" s="6"/>
      <c r="E2257" s="1"/>
      <c r="F2257" s="1"/>
      <c r="G2257" s="1"/>
      <c r="J2257" s="1" t="s">
        <v>7559</v>
      </c>
      <c r="K2257" s="2" t="s">
        <v>10630</v>
      </c>
      <c r="P2257" s="7" t="s">
        <v>1241</v>
      </c>
      <c r="AV2257" s="1" t="s">
        <v>38</v>
      </c>
      <c r="BG2257" s="7" t="s">
        <v>1242</v>
      </c>
    </row>
    <row r="2258" spans="1:59" ht="144" x14ac:dyDescent="0.45">
      <c r="A2258" s="5">
        <v>2257</v>
      </c>
      <c r="B2258" s="1" t="s">
        <v>11419</v>
      </c>
      <c r="C2258" s="6"/>
      <c r="E2258" s="1"/>
      <c r="F2258" s="1"/>
      <c r="G2258" s="1"/>
      <c r="J2258" s="1" t="s">
        <v>7559</v>
      </c>
      <c r="K2258" s="2" t="s">
        <v>10631</v>
      </c>
      <c r="P2258" s="7" t="s">
        <v>1241</v>
      </c>
      <c r="AV2258" s="1" t="s">
        <v>38</v>
      </c>
      <c r="BG2258" s="7" t="s">
        <v>1242</v>
      </c>
    </row>
    <row r="2259" spans="1:59" ht="144" x14ac:dyDescent="0.45">
      <c r="A2259" s="5">
        <v>2258</v>
      </c>
      <c r="B2259" s="1" t="s">
        <v>11420</v>
      </c>
      <c r="C2259" s="6"/>
      <c r="E2259" s="1"/>
      <c r="F2259" s="1"/>
      <c r="G2259" s="1"/>
      <c r="J2259" s="1" t="s">
        <v>7559</v>
      </c>
      <c r="K2259" s="2" t="s">
        <v>10632</v>
      </c>
      <c r="P2259" s="7" t="s">
        <v>1241</v>
      </c>
      <c r="AV2259" s="1" t="s">
        <v>38</v>
      </c>
      <c r="BG2259" s="7" t="s">
        <v>1242</v>
      </c>
    </row>
    <row r="2260" spans="1:59" ht="409.6" x14ac:dyDescent="0.45">
      <c r="A2260" s="5">
        <v>2259</v>
      </c>
      <c r="B2260" s="1" t="s">
        <v>11421</v>
      </c>
      <c r="C2260" s="6"/>
      <c r="E2260" s="1"/>
      <c r="F2260" s="1"/>
      <c r="G2260" s="1"/>
      <c r="J2260" s="1" t="s">
        <v>7559</v>
      </c>
      <c r="K2260" s="2" t="s">
        <v>10633</v>
      </c>
      <c r="P2260" s="7" t="s">
        <v>1241</v>
      </c>
      <c r="AV2260" s="1" t="s">
        <v>38</v>
      </c>
      <c r="BG2260" s="7" t="s">
        <v>1242</v>
      </c>
    </row>
    <row r="2261" spans="1:59" ht="306" x14ac:dyDescent="0.45">
      <c r="A2261" s="5">
        <v>2260</v>
      </c>
      <c r="B2261" s="1" t="s">
        <v>11422</v>
      </c>
      <c r="C2261" s="6"/>
      <c r="E2261" s="1"/>
      <c r="F2261" s="1"/>
      <c r="G2261" s="1"/>
      <c r="J2261" s="1" t="s">
        <v>7559</v>
      </c>
      <c r="K2261" s="2" t="s">
        <v>10634</v>
      </c>
      <c r="P2261" s="7" t="s">
        <v>1241</v>
      </c>
      <c r="AV2261" s="1" t="s">
        <v>38</v>
      </c>
      <c r="BG2261" s="7" t="s">
        <v>1242</v>
      </c>
    </row>
    <row r="2262" spans="1:59" ht="342" x14ac:dyDescent="0.45">
      <c r="A2262" s="5">
        <v>2261</v>
      </c>
      <c r="B2262" s="1" t="s">
        <v>11423</v>
      </c>
      <c r="C2262" s="6"/>
      <c r="E2262" s="1"/>
      <c r="F2262" s="1"/>
      <c r="G2262" s="1"/>
      <c r="J2262" s="1" t="s">
        <v>7559</v>
      </c>
      <c r="K2262" s="2" t="s">
        <v>10635</v>
      </c>
      <c r="P2262" s="7" t="s">
        <v>1241</v>
      </c>
      <c r="AV2262" s="1" t="s">
        <v>38</v>
      </c>
      <c r="BG2262" s="7" t="s">
        <v>1242</v>
      </c>
    </row>
    <row r="2263" spans="1:59" ht="342" x14ac:dyDescent="0.45">
      <c r="A2263" s="5">
        <v>2262</v>
      </c>
      <c r="B2263" s="1" t="s">
        <v>11424</v>
      </c>
      <c r="C2263" s="6"/>
      <c r="E2263" s="1"/>
      <c r="F2263" s="1"/>
      <c r="G2263" s="1"/>
      <c r="J2263" s="1" t="s">
        <v>7559</v>
      </c>
      <c r="K2263" s="2" t="s">
        <v>11782</v>
      </c>
      <c r="P2263" s="7" t="s">
        <v>1241</v>
      </c>
      <c r="AV2263" s="1" t="s">
        <v>38</v>
      </c>
      <c r="BG2263" s="7" t="s">
        <v>1242</v>
      </c>
    </row>
    <row r="2264" spans="1:59" ht="180" x14ac:dyDescent="0.45">
      <c r="A2264" s="5">
        <v>2263</v>
      </c>
      <c r="B2264" s="1" t="s">
        <v>11425</v>
      </c>
      <c r="C2264" s="6"/>
      <c r="E2264" s="1"/>
      <c r="F2264" s="1"/>
      <c r="G2264" s="1"/>
      <c r="J2264" s="1" t="s">
        <v>7559</v>
      </c>
      <c r="K2264" s="2" t="s">
        <v>10636</v>
      </c>
      <c r="P2264" s="7" t="s">
        <v>1241</v>
      </c>
      <c r="AV2264" s="1" t="s">
        <v>38</v>
      </c>
      <c r="BG2264" s="7" t="s">
        <v>1242</v>
      </c>
    </row>
    <row r="2265" spans="1:59" ht="126" x14ac:dyDescent="0.45">
      <c r="A2265" s="5">
        <v>2264</v>
      </c>
      <c r="B2265" s="1" t="s">
        <v>11426</v>
      </c>
      <c r="C2265" s="6"/>
      <c r="E2265" s="1"/>
      <c r="F2265" s="1"/>
      <c r="G2265" s="1"/>
      <c r="J2265" s="1" t="s">
        <v>7559</v>
      </c>
      <c r="K2265" s="2" t="s">
        <v>10637</v>
      </c>
      <c r="P2265" s="7" t="s">
        <v>1241</v>
      </c>
      <c r="AV2265" s="1" t="s">
        <v>38</v>
      </c>
      <c r="BG2265" s="7" t="s">
        <v>1242</v>
      </c>
    </row>
    <row r="2266" spans="1:59" ht="126" x14ac:dyDescent="0.45">
      <c r="A2266" s="5">
        <v>2265</v>
      </c>
      <c r="B2266" s="1" t="s">
        <v>11427</v>
      </c>
      <c r="C2266" s="6"/>
      <c r="E2266" s="1"/>
      <c r="F2266" s="1"/>
      <c r="G2266" s="1"/>
      <c r="J2266" s="1" t="s">
        <v>7559</v>
      </c>
      <c r="K2266" s="2" t="s">
        <v>10638</v>
      </c>
      <c r="P2266" s="7" t="s">
        <v>1241</v>
      </c>
      <c r="AV2266" s="1" t="s">
        <v>38</v>
      </c>
      <c r="BG2266" s="7" t="s">
        <v>1242</v>
      </c>
    </row>
    <row r="2267" spans="1:59" ht="198" x14ac:dyDescent="0.45">
      <c r="A2267" s="5">
        <v>2266</v>
      </c>
      <c r="B2267" s="1" t="s">
        <v>11428</v>
      </c>
      <c r="C2267" s="6"/>
      <c r="E2267" s="1"/>
      <c r="F2267" s="1"/>
      <c r="G2267" s="1"/>
      <c r="J2267" s="1" t="s">
        <v>7559</v>
      </c>
      <c r="K2267" s="2" t="s">
        <v>10639</v>
      </c>
      <c r="P2267" s="7" t="s">
        <v>1241</v>
      </c>
      <c r="AV2267" s="1" t="s">
        <v>38</v>
      </c>
      <c r="BG2267" s="7" t="s">
        <v>1242</v>
      </c>
    </row>
    <row r="2268" spans="1:59" ht="216" x14ac:dyDescent="0.45">
      <c r="A2268" s="5">
        <v>2267</v>
      </c>
      <c r="B2268" s="1" t="s">
        <v>11429</v>
      </c>
      <c r="C2268" s="6"/>
      <c r="E2268" s="1"/>
      <c r="F2268" s="1"/>
      <c r="G2268" s="1"/>
      <c r="J2268" s="1" t="s">
        <v>7559</v>
      </c>
      <c r="K2268" s="2" t="s">
        <v>10640</v>
      </c>
      <c r="P2268" s="7" t="s">
        <v>1241</v>
      </c>
      <c r="AV2268" s="1" t="s">
        <v>38</v>
      </c>
      <c r="BG2268" s="7" t="s">
        <v>1242</v>
      </c>
    </row>
    <row r="2269" spans="1:59" ht="126" x14ac:dyDescent="0.45">
      <c r="A2269" s="5">
        <v>2268</v>
      </c>
      <c r="B2269" s="1" t="s">
        <v>11430</v>
      </c>
      <c r="C2269" s="6"/>
      <c r="E2269" s="1"/>
      <c r="F2269" s="1"/>
      <c r="G2269" s="1"/>
      <c r="J2269" s="1" t="s">
        <v>7559</v>
      </c>
      <c r="K2269" s="2" t="s">
        <v>10641</v>
      </c>
      <c r="P2269" s="7" t="s">
        <v>1241</v>
      </c>
      <c r="AV2269" s="1" t="s">
        <v>38</v>
      </c>
      <c r="BG2269" s="7" t="s">
        <v>1242</v>
      </c>
    </row>
    <row r="2270" spans="1:59" ht="270" x14ac:dyDescent="0.45">
      <c r="A2270" s="5">
        <v>2269</v>
      </c>
      <c r="B2270" s="1" t="s">
        <v>11431</v>
      </c>
      <c r="C2270" s="6"/>
      <c r="E2270" s="1"/>
      <c r="F2270" s="1"/>
      <c r="G2270" s="1"/>
      <c r="J2270" s="1" t="s">
        <v>7559</v>
      </c>
      <c r="K2270" s="2" t="s">
        <v>10642</v>
      </c>
      <c r="P2270" s="7" t="s">
        <v>1241</v>
      </c>
      <c r="AV2270" s="1" t="s">
        <v>38</v>
      </c>
      <c r="BG2270" s="7" t="s">
        <v>1242</v>
      </c>
    </row>
    <row r="2271" spans="1:59" ht="180" x14ac:dyDescent="0.45">
      <c r="A2271" s="5">
        <v>2270</v>
      </c>
      <c r="B2271" s="1" t="s">
        <v>11432</v>
      </c>
      <c r="C2271" s="6"/>
      <c r="E2271" s="1"/>
      <c r="F2271" s="1"/>
      <c r="G2271" s="1"/>
      <c r="J2271" s="1" t="s">
        <v>7559</v>
      </c>
      <c r="K2271" s="2" t="s">
        <v>11674</v>
      </c>
      <c r="P2271" s="7" t="s">
        <v>1241</v>
      </c>
      <c r="AV2271" s="1" t="s">
        <v>38</v>
      </c>
      <c r="BG2271" s="7" t="s">
        <v>1242</v>
      </c>
    </row>
    <row r="2272" spans="1:59" ht="126" x14ac:dyDescent="0.45">
      <c r="A2272" s="5">
        <v>2271</v>
      </c>
      <c r="B2272" s="1" t="s">
        <v>11433</v>
      </c>
      <c r="C2272" s="6"/>
      <c r="E2272" s="1"/>
      <c r="F2272" s="1"/>
      <c r="G2272" s="1"/>
      <c r="J2272" s="1" t="s">
        <v>7559</v>
      </c>
      <c r="K2272" s="2" t="s">
        <v>10643</v>
      </c>
      <c r="P2272" s="7" t="s">
        <v>1241</v>
      </c>
      <c r="AV2272" s="1" t="s">
        <v>38</v>
      </c>
      <c r="BG2272" s="7" t="s">
        <v>1242</v>
      </c>
    </row>
    <row r="2273" spans="1:59" ht="324" x14ac:dyDescent="0.45">
      <c r="A2273" s="5">
        <v>2272</v>
      </c>
      <c r="B2273" s="1" t="s">
        <v>11434</v>
      </c>
      <c r="C2273" s="6"/>
      <c r="E2273" s="1"/>
      <c r="F2273" s="1"/>
      <c r="G2273" s="1"/>
      <c r="J2273" s="1" t="s">
        <v>7559</v>
      </c>
      <c r="K2273" s="2" t="s">
        <v>10644</v>
      </c>
      <c r="P2273" s="7" t="s">
        <v>1241</v>
      </c>
      <c r="AV2273" s="1" t="s">
        <v>38</v>
      </c>
      <c r="BG2273" s="7" t="s">
        <v>1242</v>
      </c>
    </row>
    <row r="2274" spans="1:59" ht="342" x14ac:dyDescent="0.45">
      <c r="A2274" s="5">
        <v>2273</v>
      </c>
      <c r="B2274" s="1" t="s">
        <v>11435</v>
      </c>
      <c r="C2274" s="6"/>
      <c r="E2274" s="1"/>
      <c r="F2274" s="1"/>
      <c r="G2274" s="1"/>
      <c r="J2274" s="1" t="s">
        <v>7559</v>
      </c>
      <c r="K2274" s="2" t="s">
        <v>11737</v>
      </c>
      <c r="P2274" s="7" t="s">
        <v>1241</v>
      </c>
      <c r="AV2274" s="1" t="s">
        <v>38</v>
      </c>
      <c r="BG2274" s="7" t="s">
        <v>1242</v>
      </c>
    </row>
    <row r="2275" spans="1:59" ht="252" x14ac:dyDescent="0.45">
      <c r="A2275" s="5">
        <v>2274</v>
      </c>
      <c r="B2275" s="1" t="s">
        <v>11436</v>
      </c>
      <c r="C2275" s="6"/>
      <c r="E2275" s="1"/>
      <c r="F2275" s="1"/>
      <c r="G2275" s="1"/>
      <c r="J2275" s="1" t="s">
        <v>7559</v>
      </c>
      <c r="K2275" s="2" t="s">
        <v>10645</v>
      </c>
      <c r="P2275" s="7" t="s">
        <v>1241</v>
      </c>
      <c r="AV2275" s="1" t="s">
        <v>38</v>
      </c>
      <c r="BG2275" s="7" t="s">
        <v>1242</v>
      </c>
    </row>
    <row r="2276" spans="1:59" ht="409.6" x14ac:dyDescent="0.45">
      <c r="A2276" s="5">
        <v>2275</v>
      </c>
      <c r="B2276" s="1" t="s">
        <v>11783</v>
      </c>
      <c r="C2276" s="6"/>
      <c r="E2276" s="1"/>
      <c r="F2276" s="1"/>
      <c r="G2276" s="1"/>
      <c r="J2276" s="1" t="s">
        <v>7559</v>
      </c>
      <c r="K2276" s="2" t="s">
        <v>11784</v>
      </c>
      <c r="P2276" s="7" t="s">
        <v>1241</v>
      </c>
      <c r="AV2276" s="1" t="s">
        <v>38</v>
      </c>
      <c r="BG2276" s="7" t="s">
        <v>1242</v>
      </c>
    </row>
    <row r="2277" spans="1:59" ht="234" x14ac:dyDescent="0.45">
      <c r="A2277" s="5">
        <v>2276</v>
      </c>
      <c r="B2277" s="1" t="s">
        <v>11437</v>
      </c>
      <c r="C2277" s="6"/>
      <c r="E2277" s="1"/>
      <c r="F2277" s="1"/>
      <c r="G2277" s="1"/>
      <c r="J2277" s="1" t="s">
        <v>7559</v>
      </c>
      <c r="K2277" s="2" t="s">
        <v>11738</v>
      </c>
      <c r="P2277" s="7" t="s">
        <v>1241</v>
      </c>
      <c r="AV2277" s="1" t="s">
        <v>38</v>
      </c>
      <c r="BG2277" s="7" t="s">
        <v>1242</v>
      </c>
    </row>
    <row r="2278" spans="1:59" ht="198" x14ac:dyDescent="0.45">
      <c r="A2278" s="5">
        <v>2277</v>
      </c>
      <c r="B2278" s="1" t="s">
        <v>11438</v>
      </c>
      <c r="C2278" s="6"/>
      <c r="E2278" s="1"/>
      <c r="F2278" s="1"/>
      <c r="G2278" s="1"/>
      <c r="J2278" s="1" t="s">
        <v>7559</v>
      </c>
      <c r="K2278" s="2" t="s">
        <v>10646</v>
      </c>
      <c r="P2278" s="7" t="s">
        <v>1241</v>
      </c>
      <c r="AV2278" s="1" t="s">
        <v>38</v>
      </c>
      <c r="BG2278" s="7" t="s">
        <v>1242</v>
      </c>
    </row>
    <row r="2279" spans="1:59" ht="234" x14ac:dyDescent="0.45">
      <c r="A2279" s="5">
        <v>2278</v>
      </c>
      <c r="B2279" s="1" t="s">
        <v>11439</v>
      </c>
      <c r="C2279" s="6"/>
      <c r="E2279" s="1"/>
      <c r="F2279" s="1"/>
      <c r="G2279" s="1"/>
      <c r="J2279" s="1" t="s">
        <v>7559</v>
      </c>
      <c r="K2279" s="2" t="s">
        <v>10647</v>
      </c>
      <c r="P2279" s="7" t="s">
        <v>1241</v>
      </c>
      <c r="AV2279" s="1" t="s">
        <v>38</v>
      </c>
      <c r="BG2279" s="7" t="s">
        <v>1242</v>
      </c>
    </row>
    <row r="2280" spans="1:59" ht="288" x14ac:dyDescent="0.45">
      <c r="A2280" s="5">
        <v>2279</v>
      </c>
      <c r="B2280" s="1" t="s">
        <v>11440</v>
      </c>
      <c r="C2280" s="6"/>
      <c r="E2280" s="1"/>
      <c r="F2280" s="1"/>
      <c r="G2280" s="1"/>
      <c r="J2280" s="1" t="s">
        <v>7559</v>
      </c>
      <c r="K2280" s="11" t="s">
        <v>12054</v>
      </c>
      <c r="P2280" s="7" t="s">
        <v>1241</v>
      </c>
      <c r="AV2280" s="1" t="s">
        <v>38</v>
      </c>
      <c r="BG2280" s="7" t="s">
        <v>1242</v>
      </c>
    </row>
    <row r="2281" spans="1:59" ht="288" x14ac:dyDescent="0.45">
      <c r="A2281" s="5">
        <v>2280</v>
      </c>
      <c r="B2281" s="1" t="s">
        <v>11441</v>
      </c>
      <c r="C2281" s="6"/>
      <c r="E2281" s="1"/>
      <c r="F2281" s="1"/>
      <c r="G2281" s="1"/>
      <c r="J2281" s="1" t="s">
        <v>7559</v>
      </c>
      <c r="K2281" s="11" t="s">
        <v>12055</v>
      </c>
      <c r="P2281" s="7" t="s">
        <v>1241</v>
      </c>
      <c r="AV2281" s="1" t="s">
        <v>38</v>
      </c>
      <c r="BG2281" s="7" t="s">
        <v>1242</v>
      </c>
    </row>
    <row r="2282" spans="1:59" ht="126" x14ac:dyDescent="0.45">
      <c r="A2282" s="5">
        <v>2281</v>
      </c>
      <c r="B2282" s="1" t="s">
        <v>11442</v>
      </c>
      <c r="C2282" s="6"/>
      <c r="E2282" s="1"/>
      <c r="F2282" s="1"/>
      <c r="G2282" s="1"/>
      <c r="J2282" s="1" t="s">
        <v>7559</v>
      </c>
      <c r="K2282" s="2" t="s">
        <v>10648</v>
      </c>
      <c r="P2282" s="7" t="s">
        <v>1241</v>
      </c>
      <c r="AV2282" s="1" t="s">
        <v>38</v>
      </c>
      <c r="BG2282" s="7" t="s">
        <v>1242</v>
      </c>
    </row>
    <row r="2283" spans="1:59" ht="72" x14ac:dyDescent="0.45">
      <c r="A2283" s="5">
        <v>2282</v>
      </c>
      <c r="B2283" s="1" t="s">
        <v>11443</v>
      </c>
      <c r="C2283" s="6"/>
      <c r="E2283" s="1"/>
      <c r="F2283" s="1"/>
      <c r="G2283" s="1"/>
      <c r="J2283" s="1" t="s">
        <v>7559</v>
      </c>
      <c r="K2283" s="2" t="s">
        <v>10649</v>
      </c>
      <c r="P2283" s="7" t="s">
        <v>1241</v>
      </c>
      <c r="AV2283" s="1" t="s">
        <v>38</v>
      </c>
      <c r="BG2283" s="7" t="s">
        <v>1242</v>
      </c>
    </row>
    <row r="2284" spans="1:59" ht="180" x14ac:dyDescent="0.45">
      <c r="A2284" s="5">
        <v>2283</v>
      </c>
      <c r="B2284" s="1" t="s">
        <v>11444</v>
      </c>
      <c r="C2284" s="6"/>
      <c r="E2284" s="1"/>
      <c r="F2284" s="1"/>
      <c r="G2284" s="1"/>
      <c r="J2284" s="1" t="s">
        <v>7559</v>
      </c>
      <c r="K2284" s="2" t="s">
        <v>10650</v>
      </c>
      <c r="P2284" s="7" t="s">
        <v>1241</v>
      </c>
      <c r="AV2284" s="1" t="s">
        <v>38</v>
      </c>
      <c r="BG2284" s="7" t="s">
        <v>1242</v>
      </c>
    </row>
    <row r="2285" spans="1:59" ht="144" x14ac:dyDescent="0.45">
      <c r="A2285" s="5">
        <v>2284</v>
      </c>
      <c r="B2285" s="1" t="s">
        <v>11445</v>
      </c>
      <c r="C2285" s="6"/>
      <c r="E2285" s="1"/>
      <c r="F2285" s="1"/>
      <c r="G2285" s="1"/>
      <c r="J2285" s="1" t="s">
        <v>7559</v>
      </c>
      <c r="K2285" s="11" t="s">
        <v>12056</v>
      </c>
      <c r="P2285" s="7" t="s">
        <v>1241</v>
      </c>
      <c r="AV2285" s="1" t="s">
        <v>38</v>
      </c>
      <c r="BG2285" s="7" t="s">
        <v>1242</v>
      </c>
    </row>
    <row r="2286" spans="1:59" ht="144" x14ac:dyDescent="0.45">
      <c r="A2286" s="5">
        <v>2285</v>
      </c>
      <c r="B2286" s="1" t="s">
        <v>11446</v>
      </c>
      <c r="C2286" s="6"/>
      <c r="E2286" s="1"/>
      <c r="F2286" s="1"/>
      <c r="G2286" s="1"/>
      <c r="J2286" s="1" t="s">
        <v>7559</v>
      </c>
      <c r="K2286" s="11" t="s">
        <v>12057</v>
      </c>
      <c r="P2286" s="7" t="s">
        <v>1241</v>
      </c>
      <c r="AV2286" s="1" t="s">
        <v>38</v>
      </c>
      <c r="BG2286" s="7" t="s">
        <v>1242</v>
      </c>
    </row>
    <row r="2287" spans="1:59" ht="126" x14ac:dyDescent="0.45">
      <c r="A2287" s="5">
        <v>2286</v>
      </c>
      <c r="B2287" s="1" t="s">
        <v>11447</v>
      </c>
      <c r="C2287" s="6"/>
      <c r="E2287" s="1"/>
      <c r="F2287" s="1"/>
      <c r="G2287" s="1"/>
      <c r="J2287" s="1" t="s">
        <v>7559</v>
      </c>
      <c r="K2287" s="2" t="s">
        <v>10651</v>
      </c>
      <c r="P2287" s="7" t="s">
        <v>1241</v>
      </c>
      <c r="AV2287" s="1" t="s">
        <v>38</v>
      </c>
      <c r="BG2287" s="7" t="s">
        <v>1242</v>
      </c>
    </row>
    <row r="2288" spans="1:59" ht="270" x14ac:dyDescent="0.45">
      <c r="A2288" s="5">
        <v>2287</v>
      </c>
      <c r="B2288" s="1" t="s">
        <v>11448</v>
      </c>
      <c r="C2288" s="6"/>
      <c r="E2288" s="1"/>
      <c r="F2288" s="1"/>
      <c r="G2288" s="1"/>
      <c r="J2288" s="1" t="s">
        <v>7559</v>
      </c>
      <c r="K2288" s="11" t="s">
        <v>12058</v>
      </c>
      <c r="P2288" s="7" t="s">
        <v>1241</v>
      </c>
      <c r="AV2288" s="1" t="s">
        <v>38</v>
      </c>
      <c r="BG2288" s="7" t="s">
        <v>1242</v>
      </c>
    </row>
    <row r="2289" spans="1:59" ht="144" x14ac:dyDescent="0.45">
      <c r="A2289" s="5">
        <v>2288</v>
      </c>
      <c r="B2289" s="1" t="s">
        <v>11449</v>
      </c>
      <c r="C2289" s="6"/>
      <c r="E2289" s="1"/>
      <c r="F2289" s="1"/>
      <c r="G2289" s="1"/>
      <c r="J2289" s="1" t="s">
        <v>7559</v>
      </c>
      <c r="K2289" s="2" t="s">
        <v>10652</v>
      </c>
      <c r="P2289" s="7" t="s">
        <v>1241</v>
      </c>
      <c r="AV2289" s="1" t="s">
        <v>38</v>
      </c>
      <c r="BG2289" s="7" t="s">
        <v>1242</v>
      </c>
    </row>
    <row r="2290" spans="1:59" ht="144" x14ac:dyDescent="0.45">
      <c r="A2290" s="5">
        <v>2289</v>
      </c>
      <c r="B2290" s="1" t="s">
        <v>11450</v>
      </c>
      <c r="C2290" s="6"/>
      <c r="E2290" s="1"/>
      <c r="F2290" s="1"/>
      <c r="G2290" s="1"/>
      <c r="J2290" s="1" t="s">
        <v>7559</v>
      </c>
      <c r="K2290" s="11" t="s">
        <v>12059</v>
      </c>
      <c r="P2290" s="7" t="s">
        <v>1241</v>
      </c>
      <c r="AV2290" s="1" t="s">
        <v>38</v>
      </c>
      <c r="BG2290" s="7" t="s">
        <v>1242</v>
      </c>
    </row>
    <row r="2291" spans="1:59" ht="270" x14ac:dyDescent="0.45">
      <c r="A2291" s="5">
        <v>2290</v>
      </c>
      <c r="B2291" s="1" t="s">
        <v>11451</v>
      </c>
      <c r="C2291" s="6"/>
      <c r="E2291" s="1"/>
      <c r="F2291" s="1"/>
      <c r="G2291" s="1"/>
      <c r="J2291" s="1" t="s">
        <v>7559</v>
      </c>
      <c r="K2291" s="2" t="s">
        <v>10653</v>
      </c>
      <c r="P2291" s="7" t="s">
        <v>1241</v>
      </c>
      <c r="AV2291" s="1" t="s">
        <v>38</v>
      </c>
      <c r="BG2291" s="7" t="s">
        <v>1242</v>
      </c>
    </row>
    <row r="2292" spans="1:59" ht="409.6" x14ac:dyDescent="0.45">
      <c r="A2292" s="5">
        <v>2291</v>
      </c>
      <c r="B2292" s="1" t="s">
        <v>11452</v>
      </c>
      <c r="C2292" s="6"/>
      <c r="E2292" s="1"/>
      <c r="F2292" s="1"/>
      <c r="G2292" s="1"/>
      <c r="J2292" s="1" t="s">
        <v>7559</v>
      </c>
      <c r="K2292" s="2" t="s">
        <v>10654</v>
      </c>
      <c r="P2292" s="7" t="s">
        <v>1241</v>
      </c>
      <c r="AV2292" s="1" t="s">
        <v>38</v>
      </c>
      <c r="BG2292" s="7" t="s">
        <v>1242</v>
      </c>
    </row>
    <row r="2293" spans="1:59" ht="126" x14ac:dyDescent="0.45">
      <c r="A2293" s="5">
        <v>2292</v>
      </c>
      <c r="B2293" s="1" t="s">
        <v>10655</v>
      </c>
      <c r="C2293" s="6"/>
      <c r="E2293" s="1"/>
      <c r="F2293" s="1"/>
      <c r="G2293" s="1"/>
      <c r="J2293" s="1" t="s">
        <v>7559</v>
      </c>
      <c r="K2293" s="2" t="s">
        <v>10656</v>
      </c>
      <c r="P2293" s="7" t="s">
        <v>1241</v>
      </c>
      <c r="AV2293" s="1" t="s">
        <v>38</v>
      </c>
      <c r="BG2293" s="7" t="s">
        <v>1242</v>
      </c>
    </row>
    <row r="2294" spans="1:59" ht="144" x14ac:dyDescent="0.45">
      <c r="A2294" s="5">
        <v>2293</v>
      </c>
      <c r="B2294" s="1" t="s">
        <v>11453</v>
      </c>
      <c r="C2294" s="6"/>
      <c r="E2294" s="1"/>
      <c r="F2294" s="1"/>
      <c r="G2294" s="1"/>
      <c r="J2294" s="1" t="s">
        <v>7559</v>
      </c>
      <c r="K2294" s="2" t="s">
        <v>10657</v>
      </c>
      <c r="P2294" s="7" t="s">
        <v>1241</v>
      </c>
      <c r="AV2294" s="1" t="s">
        <v>38</v>
      </c>
      <c r="BG2294" s="7" t="s">
        <v>1242</v>
      </c>
    </row>
    <row r="2295" spans="1:59" ht="234" x14ac:dyDescent="0.45">
      <c r="A2295" s="5">
        <v>2294</v>
      </c>
      <c r="B2295" s="1" t="s">
        <v>10658</v>
      </c>
      <c r="C2295" s="6"/>
      <c r="E2295" s="1"/>
      <c r="F2295" s="1"/>
      <c r="G2295" s="1"/>
      <c r="J2295" s="1" t="s">
        <v>7559</v>
      </c>
      <c r="K2295" s="11" t="s">
        <v>12060</v>
      </c>
      <c r="P2295" s="7" t="s">
        <v>1241</v>
      </c>
      <c r="AV2295" s="1" t="s">
        <v>38</v>
      </c>
      <c r="BG2295" s="7" t="s">
        <v>1242</v>
      </c>
    </row>
    <row r="2296" spans="1:59" ht="396" x14ac:dyDescent="0.45">
      <c r="A2296" s="5">
        <v>2295</v>
      </c>
      <c r="B2296" s="1" t="s">
        <v>11454</v>
      </c>
      <c r="C2296" s="6"/>
      <c r="E2296" s="1"/>
      <c r="F2296" s="1"/>
      <c r="G2296" s="1"/>
      <c r="J2296" s="1" t="s">
        <v>7559</v>
      </c>
      <c r="K2296" s="2" t="s">
        <v>10659</v>
      </c>
      <c r="P2296" s="7" t="s">
        <v>1241</v>
      </c>
      <c r="AV2296" s="1" t="s">
        <v>38</v>
      </c>
      <c r="BG2296" s="7" t="s">
        <v>1242</v>
      </c>
    </row>
    <row r="2297" spans="1:59" ht="396" x14ac:dyDescent="0.45">
      <c r="A2297" s="5">
        <v>2296</v>
      </c>
      <c r="B2297" s="1" t="s">
        <v>11455</v>
      </c>
      <c r="C2297" s="6"/>
      <c r="E2297" s="1"/>
      <c r="F2297" s="1"/>
      <c r="G2297" s="1"/>
      <c r="J2297" s="1" t="s">
        <v>7559</v>
      </c>
      <c r="K2297" s="2" t="s">
        <v>10660</v>
      </c>
      <c r="P2297" s="7" t="s">
        <v>1241</v>
      </c>
      <c r="AV2297" s="1" t="s">
        <v>38</v>
      </c>
      <c r="BG2297" s="7" t="s">
        <v>1242</v>
      </c>
    </row>
    <row r="2298" spans="1:59" ht="162" x14ac:dyDescent="0.45">
      <c r="A2298" s="5">
        <v>2297</v>
      </c>
      <c r="B2298" s="1" t="s">
        <v>11456</v>
      </c>
      <c r="C2298" s="6"/>
      <c r="E2298" s="1"/>
      <c r="F2298" s="1"/>
      <c r="G2298" s="1"/>
      <c r="J2298" s="1" t="s">
        <v>7559</v>
      </c>
      <c r="K2298" s="11" t="s">
        <v>12061</v>
      </c>
      <c r="P2298" s="7" t="s">
        <v>1241</v>
      </c>
      <c r="AV2298" s="1" t="s">
        <v>38</v>
      </c>
      <c r="BG2298" s="7" t="s">
        <v>1242</v>
      </c>
    </row>
    <row r="2299" spans="1:59" ht="126" x14ac:dyDescent="0.45">
      <c r="A2299" s="5">
        <v>2298</v>
      </c>
      <c r="B2299" s="1" t="s">
        <v>11457</v>
      </c>
      <c r="C2299" s="6"/>
      <c r="E2299" s="1"/>
      <c r="F2299" s="1"/>
      <c r="G2299" s="1"/>
      <c r="J2299" s="1" t="s">
        <v>7559</v>
      </c>
      <c r="K2299" s="2" t="s">
        <v>10661</v>
      </c>
      <c r="P2299" s="7" t="s">
        <v>1241</v>
      </c>
      <c r="AV2299" s="1" t="s">
        <v>38</v>
      </c>
      <c r="BG2299" s="7" t="s">
        <v>1242</v>
      </c>
    </row>
    <row r="2300" spans="1:59" ht="396" x14ac:dyDescent="0.45">
      <c r="A2300" s="5">
        <v>2299</v>
      </c>
      <c r="B2300" s="1" t="s">
        <v>11458</v>
      </c>
      <c r="C2300" s="6"/>
      <c r="E2300" s="1"/>
      <c r="F2300" s="1"/>
      <c r="G2300" s="1"/>
      <c r="J2300" s="1" t="s">
        <v>7559</v>
      </c>
      <c r="K2300" s="2" t="s">
        <v>10662</v>
      </c>
      <c r="P2300" s="7" t="s">
        <v>1241</v>
      </c>
      <c r="AV2300" s="1" t="s">
        <v>38</v>
      </c>
      <c r="BG2300" s="7" t="s">
        <v>1242</v>
      </c>
    </row>
    <row r="2301" spans="1:59" ht="270" x14ac:dyDescent="0.45">
      <c r="A2301" s="5">
        <v>2300</v>
      </c>
      <c r="B2301" s="1" t="s">
        <v>11459</v>
      </c>
      <c r="C2301" s="6"/>
      <c r="E2301" s="1"/>
      <c r="F2301" s="1"/>
      <c r="G2301" s="1"/>
      <c r="J2301" s="1" t="s">
        <v>7559</v>
      </c>
      <c r="K2301" s="11" t="s">
        <v>12062</v>
      </c>
      <c r="P2301" s="7" t="s">
        <v>1241</v>
      </c>
      <c r="AV2301" s="1" t="s">
        <v>38</v>
      </c>
      <c r="BG2301" s="7" t="s">
        <v>1242</v>
      </c>
    </row>
    <row r="2302" spans="1:59" ht="378" x14ac:dyDescent="0.45">
      <c r="A2302" s="5">
        <v>2301</v>
      </c>
      <c r="B2302" s="1" t="s">
        <v>11460</v>
      </c>
      <c r="C2302" s="6"/>
      <c r="E2302" s="1"/>
      <c r="F2302" s="1"/>
      <c r="G2302" s="1"/>
      <c r="J2302" s="1" t="s">
        <v>7559</v>
      </c>
      <c r="K2302" s="2" t="s">
        <v>11755</v>
      </c>
      <c r="P2302" s="7" t="s">
        <v>1241</v>
      </c>
      <c r="AV2302" s="1" t="s">
        <v>38</v>
      </c>
      <c r="BG2302" s="7" t="s">
        <v>1242</v>
      </c>
    </row>
    <row r="2303" spans="1:59" ht="144" x14ac:dyDescent="0.45">
      <c r="A2303" s="5">
        <v>2302</v>
      </c>
      <c r="B2303" s="1" t="s">
        <v>11461</v>
      </c>
      <c r="C2303" s="6"/>
      <c r="E2303" s="1"/>
      <c r="F2303" s="1"/>
      <c r="G2303" s="1"/>
      <c r="J2303" s="1" t="s">
        <v>7559</v>
      </c>
      <c r="K2303" s="2" t="s">
        <v>10663</v>
      </c>
      <c r="P2303" s="7" t="s">
        <v>1241</v>
      </c>
      <c r="AV2303" s="1" t="s">
        <v>38</v>
      </c>
      <c r="BG2303" s="7" t="s">
        <v>1242</v>
      </c>
    </row>
    <row r="2304" spans="1:59" ht="216" x14ac:dyDescent="0.45">
      <c r="A2304" s="5">
        <v>2303</v>
      </c>
      <c r="B2304" s="1" t="s">
        <v>11462</v>
      </c>
      <c r="C2304" s="6"/>
      <c r="E2304" s="1"/>
      <c r="F2304" s="1"/>
      <c r="G2304" s="1"/>
      <c r="J2304" s="1" t="s">
        <v>7559</v>
      </c>
      <c r="K2304" s="11" t="s">
        <v>12063</v>
      </c>
      <c r="P2304" s="7" t="s">
        <v>1241</v>
      </c>
      <c r="AV2304" s="1" t="s">
        <v>38</v>
      </c>
      <c r="BG2304" s="7" t="s">
        <v>1242</v>
      </c>
    </row>
    <row r="2305" spans="1:59" ht="162" x14ac:dyDescent="0.45">
      <c r="A2305" s="5">
        <v>2304</v>
      </c>
      <c r="B2305" s="1" t="s">
        <v>11463</v>
      </c>
      <c r="C2305" s="6"/>
      <c r="E2305" s="1"/>
      <c r="F2305" s="1"/>
      <c r="G2305" s="1"/>
      <c r="J2305" s="1" t="s">
        <v>7559</v>
      </c>
      <c r="K2305" s="2" t="s">
        <v>10664</v>
      </c>
      <c r="P2305" s="7" t="s">
        <v>1241</v>
      </c>
      <c r="AV2305" s="1" t="s">
        <v>38</v>
      </c>
      <c r="BG2305" s="7" t="s">
        <v>1242</v>
      </c>
    </row>
    <row r="2306" spans="1:59" ht="108" x14ac:dyDescent="0.45">
      <c r="A2306" s="5">
        <v>2305</v>
      </c>
      <c r="B2306" s="1" t="s">
        <v>11464</v>
      </c>
      <c r="C2306" s="6"/>
      <c r="E2306" s="1"/>
      <c r="F2306" s="1"/>
      <c r="G2306" s="1"/>
      <c r="J2306" s="1" t="s">
        <v>7559</v>
      </c>
      <c r="K2306" s="2" t="s">
        <v>10665</v>
      </c>
      <c r="P2306" s="7" t="s">
        <v>1241</v>
      </c>
      <c r="AV2306" s="1" t="s">
        <v>38</v>
      </c>
      <c r="BG2306" s="7" t="s">
        <v>1242</v>
      </c>
    </row>
    <row r="2307" spans="1:59" ht="252" x14ac:dyDescent="0.45">
      <c r="A2307" s="5">
        <v>2306</v>
      </c>
      <c r="B2307" s="1" t="s">
        <v>11465</v>
      </c>
      <c r="C2307" s="6"/>
      <c r="E2307" s="1"/>
      <c r="F2307" s="1"/>
      <c r="G2307" s="1"/>
      <c r="J2307" s="1" t="s">
        <v>7559</v>
      </c>
      <c r="K2307" s="11" t="s">
        <v>12064</v>
      </c>
      <c r="P2307" s="7" t="s">
        <v>1241</v>
      </c>
      <c r="AV2307" s="1" t="s">
        <v>38</v>
      </c>
      <c r="BG2307" s="7" t="s">
        <v>1242</v>
      </c>
    </row>
    <row r="2308" spans="1:59" ht="126" x14ac:dyDescent="0.45">
      <c r="A2308" s="5">
        <v>2307</v>
      </c>
      <c r="B2308" s="1" t="s">
        <v>11466</v>
      </c>
      <c r="C2308" s="6"/>
      <c r="E2308" s="1"/>
      <c r="F2308" s="1"/>
      <c r="G2308" s="1"/>
      <c r="J2308" s="1" t="s">
        <v>7559</v>
      </c>
      <c r="K2308" s="2" t="s">
        <v>10666</v>
      </c>
      <c r="P2308" s="7" t="s">
        <v>1241</v>
      </c>
      <c r="AV2308" s="1" t="s">
        <v>38</v>
      </c>
      <c r="BG2308" s="7" t="s">
        <v>1242</v>
      </c>
    </row>
    <row r="2309" spans="1:59" ht="288" x14ac:dyDescent="0.45">
      <c r="A2309" s="5">
        <v>2308</v>
      </c>
      <c r="B2309" s="1" t="s">
        <v>11467</v>
      </c>
      <c r="C2309" s="6"/>
      <c r="E2309" s="1"/>
      <c r="F2309" s="1"/>
      <c r="G2309" s="1"/>
      <c r="J2309" s="1" t="s">
        <v>7559</v>
      </c>
      <c r="K2309" s="2" t="s">
        <v>10667</v>
      </c>
      <c r="P2309" s="7" t="s">
        <v>1241</v>
      </c>
      <c r="AV2309" s="1" t="s">
        <v>38</v>
      </c>
      <c r="BG2309" s="7" t="s">
        <v>1242</v>
      </c>
    </row>
    <row r="2310" spans="1:59" ht="288" x14ac:dyDescent="0.45">
      <c r="A2310" s="5">
        <v>2309</v>
      </c>
      <c r="B2310" s="1" t="s">
        <v>11468</v>
      </c>
      <c r="C2310" s="6"/>
      <c r="E2310" s="1"/>
      <c r="F2310" s="1"/>
      <c r="G2310" s="1"/>
      <c r="J2310" s="1" t="s">
        <v>7559</v>
      </c>
      <c r="K2310" s="2" t="s">
        <v>10668</v>
      </c>
      <c r="P2310" s="7" t="s">
        <v>1241</v>
      </c>
      <c r="AV2310" s="1" t="s">
        <v>38</v>
      </c>
      <c r="BG2310" s="7" t="s">
        <v>1242</v>
      </c>
    </row>
    <row r="2311" spans="1:59" ht="108" x14ac:dyDescent="0.45">
      <c r="A2311" s="5">
        <v>2310</v>
      </c>
      <c r="B2311" s="1" t="s">
        <v>11469</v>
      </c>
      <c r="C2311" s="6"/>
      <c r="E2311" s="1"/>
      <c r="F2311" s="1"/>
      <c r="G2311" s="1"/>
      <c r="J2311" s="1" t="s">
        <v>7559</v>
      </c>
      <c r="K2311" s="2" t="s">
        <v>10669</v>
      </c>
      <c r="P2311" s="7" t="s">
        <v>1241</v>
      </c>
      <c r="AV2311" s="1" t="s">
        <v>38</v>
      </c>
      <c r="BG2311" s="7" t="s">
        <v>1242</v>
      </c>
    </row>
    <row r="2312" spans="1:59" ht="126" x14ac:dyDescent="0.45">
      <c r="A2312" s="5">
        <v>2311</v>
      </c>
      <c r="B2312" s="1" t="s">
        <v>11470</v>
      </c>
      <c r="C2312" s="6"/>
      <c r="E2312" s="1"/>
      <c r="F2312" s="1"/>
      <c r="G2312" s="1"/>
      <c r="J2312" s="1" t="s">
        <v>7559</v>
      </c>
      <c r="K2312" s="2" t="s">
        <v>10670</v>
      </c>
      <c r="P2312" s="7" t="s">
        <v>1241</v>
      </c>
      <c r="AV2312" s="1" t="s">
        <v>38</v>
      </c>
      <c r="BG2312" s="7" t="s">
        <v>1242</v>
      </c>
    </row>
    <row r="2313" spans="1:59" ht="234" x14ac:dyDescent="0.45">
      <c r="A2313" s="5">
        <v>2312</v>
      </c>
      <c r="B2313" s="1" t="s">
        <v>11471</v>
      </c>
      <c r="C2313" s="6"/>
      <c r="E2313" s="1"/>
      <c r="F2313" s="1"/>
      <c r="G2313" s="1"/>
      <c r="J2313" s="1" t="s">
        <v>7559</v>
      </c>
      <c r="K2313" s="2" t="s">
        <v>10671</v>
      </c>
      <c r="P2313" s="7" t="s">
        <v>1241</v>
      </c>
      <c r="AV2313" s="1" t="s">
        <v>38</v>
      </c>
      <c r="BG2313" s="7" t="s">
        <v>1242</v>
      </c>
    </row>
    <row r="2314" spans="1:59" ht="126" x14ac:dyDescent="0.45">
      <c r="A2314" s="5">
        <v>2313</v>
      </c>
      <c r="B2314" s="1" t="s">
        <v>11472</v>
      </c>
      <c r="C2314" s="6"/>
      <c r="E2314" s="1"/>
      <c r="F2314" s="1"/>
      <c r="G2314" s="1"/>
      <c r="J2314" s="1" t="s">
        <v>7559</v>
      </c>
      <c r="K2314" s="2" t="s">
        <v>10672</v>
      </c>
      <c r="P2314" s="7" t="s">
        <v>1241</v>
      </c>
      <c r="AV2314" s="1" t="s">
        <v>38</v>
      </c>
      <c r="BG2314" s="7" t="s">
        <v>1242</v>
      </c>
    </row>
    <row r="2315" spans="1:59" ht="144" x14ac:dyDescent="0.45">
      <c r="A2315" s="5">
        <v>2314</v>
      </c>
      <c r="B2315" s="1" t="s">
        <v>11473</v>
      </c>
      <c r="C2315" s="6"/>
      <c r="E2315" s="1"/>
      <c r="F2315" s="1"/>
      <c r="G2315" s="1"/>
      <c r="J2315" s="1" t="s">
        <v>7559</v>
      </c>
      <c r="K2315" s="2" t="s">
        <v>10673</v>
      </c>
      <c r="P2315" s="7" t="s">
        <v>1241</v>
      </c>
      <c r="AV2315" s="1" t="s">
        <v>38</v>
      </c>
      <c r="BG2315" s="7" t="s">
        <v>1242</v>
      </c>
    </row>
    <row r="2316" spans="1:59" ht="144" x14ac:dyDescent="0.45">
      <c r="A2316" s="5">
        <v>2315</v>
      </c>
      <c r="B2316" s="1" t="s">
        <v>11474</v>
      </c>
      <c r="C2316" s="6"/>
      <c r="E2316" s="1"/>
      <c r="F2316" s="1"/>
      <c r="G2316" s="1"/>
      <c r="J2316" s="1" t="s">
        <v>7559</v>
      </c>
      <c r="K2316" s="2" t="s">
        <v>10674</v>
      </c>
      <c r="P2316" s="7" t="s">
        <v>1241</v>
      </c>
      <c r="AV2316" s="1" t="s">
        <v>38</v>
      </c>
      <c r="BG2316" s="7" t="s">
        <v>1242</v>
      </c>
    </row>
    <row r="2317" spans="1:59" ht="162" x14ac:dyDescent="0.45">
      <c r="A2317" s="5">
        <v>2316</v>
      </c>
      <c r="B2317" s="1" t="s">
        <v>11475</v>
      </c>
      <c r="C2317" s="6"/>
      <c r="E2317" s="1"/>
      <c r="F2317" s="1"/>
      <c r="G2317" s="1"/>
      <c r="J2317" s="1" t="s">
        <v>7559</v>
      </c>
      <c r="K2317" s="2" t="s">
        <v>10675</v>
      </c>
      <c r="P2317" s="7" t="s">
        <v>1241</v>
      </c>
      <c r="AV2317" s="1" t="s">
        <v>38</v>
      </c>
      <c r="BG2317" s="7" t="s">
        <v>1242</v>
      </c>
    </row>
    <row r="2318" spans="1:59" ht="234" x14ac:dyDescent="0.45">
      <c r="A2318" s="5">
        <v>2317</v>
      </c>
      <c r="B2318" s="1" t="s">
        <v>11476</v>
      </c>
      <c r="C2318" s="6"/>
      <c r="E2318" s="1"/>
      <c r="F2318" s="1"/>
      <c r="G2318" s="1"/>
      <c r="J2318" s="1" t="s">
        <v>7559</v>
      </c>
      <c r="K2318" s="11" t="s">
        <v>12065</v>
      </c>
      <c r="P2318" s="7" t="s">
        <v>1241</v>
      </c>
      <c r="AV2318" s="1" t="s">
        <v>38</v>
      </c>
      <c r="BG2318" s="7" t="s">
        <v>1242</v>
      </c>
    </row>
    <row r="2319" spans="1:59" ht="108" x14ac:dyDescent="0.45">
      <c r="A2319" s="5">
        <v>2318</v>
      </c>
      <c r="B2319" s="1" t="s">
        <v>11477</v>
      </c>
      <c r="C2319" s="6"/>
      <c r="E2319" s="1"/>
      <c r="F2319" s="1"/>
      <c r="G2319" s="1"/>
      <c r="J2319" s="1" t="s">
        <v>7559</v>
      </c>
      <c r="K2319" s="2" t="s">
        <v>10676</v>
      </c>
      <c r="P2319" s="7" t="s">
        <v>1241</v>
      </c>
      <c r="AV2319" s="1" t="s">
        <v>38</v>
      </c>
      <c r="BG2319" s="7" t="s">
        <v>1242</v>
      </c>
    </row>
    <row r="2320" spans="1:59" ht="234" x14ac:dyDescent="0.45">
      <c r="A2320" s="5">
        <v>2319</v>
      </c>
      <c r="B2320" s="1" t="s">
        <v>11478</v>
      </c>
      <c r="C2320" s="6"/>
      <c r="E2320" s="1"/>
      <c r="F2320" s="1"/>
      <c r="G2320" s="1"/>
      <c r="J2320" s="1" t="s">
        <v>7559</v>
      </c>
      <c r="K2320" s="11" t="s">
        <v>12066</v>
      </c>
      <c r="P2320" s="7" t="s">
        <v>1241</v>
      </c>
      <c r="AV2320" s="1" t="s">
        <v>38</v>
      </c>
      <c r="BG2320" s="7" t="s">
        <v>1242</v>
      </c>
    </row>
    <row r="2321" spans="1:59" ht="162" x14ac:dyDescent="0.45">
      <c r="A2321" s="5">
        <v>2320</v>
      </c>
      <c r="B2321" s="1" t="s">
        <v>11479</v>
      </c>
      <c r="C2321" s="6"/>
      <c r="E2321" s="1"/>
      <c r="F2321" s="1"/>
      <c r="G2321" s="1"/>
      <c r="J2321" s="1" t="s">
        <v>7559</v>
      </c>
      <c r="K2321" s="2" t="s">
        <v>10677</v>
      </c>
      <c r="P2321" s="7" t="s">
        <v>1241</v>
      </c>
      <c r="AV2321" s="1" t="s">
        <v>38</v>
      </c>
      <c r="BG2321" s="7" t="s">
        <v>1242</v>
      </c>
    </row>
    <row r="2322" spans="1:59" ht="234" x14ac:dyDescent="0.45">
      <c r="A2322" s="5">
        <v>2321</v>
      </c>
      <c r="B2322" s="1" t="s">
        <v>11480</v>
      </c>
      <c r="C2322" s="6"/>
      <c r="E2322" s="1"/>
      <c r="F2322" s="1"/>
      <c r="G2322" s="1"/>
      <c r="J2322" s="1" t="s">
        <v>7559</v>
      </c>
      <c r="K2322" s="2" t="s">
        <v>10678</v>
      </c>
      <c r="P2322" s="7" t="s">
        <v>1241</v>
      </c>
      <c r="AV2322" s="1" t="s">
        <v>38</v>
      </c>
      <c r="BG2322" s="7" t="s">
        <v>1242</v>
      </c>
    </row>
    <row r="2323" spans="1:59" ht="270" x14ac:dyDescent="0.45">
      <c r="A2323" s="5">
        <v>2322</v>
      </c>
      <c r="B2323" s="1" t="s">
        <v>11481</v>
      </c>
      <c r="C2323" s="6"/>
      <c r="E2323" s="1"/>
      <c r="F2323" s="1"/>
      <c r="G2323" s="1"/>
      <c r="J2323" s="1" t="s">
        <v>7559</v>
      </c>
      <c r="K2323" s="11" t="s">
        <v>12067</v>
      </c>
      <c r="P2323" s="7" t="s">
        <v>1241</v>
      </c>
      <c r="AV2323" s="1" t="s">
        <v>38</v>
      </c>
      <c r="BG2323" s="7" t="s">
        <v>1242</v>
      </c>
    </row>
    <row r="2324" spans="1:59" ht="198" x14ac:dyDescent="0.45">
      <c r="A2324" s="5">
        <v>2323</v>
      </c>
      <c r="B2324" s="1" t="s">
        <v>11482</v>
      </c>
      <c r="C2324" s="6"/>
      <c r="E2324" s="1"/>
      <c r="F2324" s="1"/>
      <c r="G2324" s="1"/>
      <c r="J2324" s="1" t="s">
        <v>7559</v>
      </c>
      <c r="K2324" s="2" t="s">
        <v>10679</v>
      </c>
      <c r="P2324" s="7" t="s">
        <v>1241</v>
      </c>
      <c r="AV2324" s="1" t="s">
        <v>38</v>
      </c>
      <c r="BG2324" s="7" t="s">
        <v>1242</v>
      </c>
    </row>
    <row r="2325" spans="1:59" ht="162" x14ac:dyDescent="0.45">
      <c r="A2325" s="5">
        <v>2324</v>
      </c>
      <c r="B2325" s="1" t="s">
        <v>11483</v>
      </c>
      <c r="C2325" s="6"/>
      <c r="E2325" s="1"/>
      <c r="F2325" s="1"/>
      <c r="G2325" s="1"/>
      <c r="J2325" s="1" t="s">
        <v>7559</v>
      </c>
      <c r="K2325" s="11" t="s">
        <v>12068</v>
      </c>
      <c r="P2325" s="7" t="s">
        <v>1241</v>
      </c>
      <c r="AV2325" s="1" t="s">
        <v>38</v>
      </c>
      <c r="BG2325" s="7" t="s">
        <v>1242</v>
      </c>
    </row>
    <row r="2326" spans="1:59" ht="144" x14ac:dyDescent="0.45">
      <c r="A2326" s="5">
        <v>2325</v>
      </c>
      <c r="B2326" s="1" t="s">
        <v>11484</v>
      </c>
      <c r="C2326" s="6"/>
      <c r="E2326" s="1"/>
      <c r="F2326" s="1"/>
      <c r="G2326" s="1"/>
      <c r="J2326" s="1" t="s">
        <v>7559</v>
      </c>
      <c r="K2326" s="2" t="s">
        <v>10680</v>
      </c>
      <c r="P2326" s="7" t="s">
        <v>1241</v>
      </c>
      <c r="AV2326" s="1" t="s">
        <v>38</v>
      </c>
      <c r="BG2326" s="7" t="s">
        <v>1242</v>
      </c>
    </row>
    <row r="2327" spans="1:59" ht="162" x14ac:dyDescent="0.45">
      <c r="A2327" s="5">
        <v>2326</v>
      </c>
      <c r="B2327" s="1" t="s">
        <v>11485</v>
      </c>
      <c r="C2327" s="6"/>
      <c r="E2327" s="1"/>
      <c r="F2327" s="1"/>
      <c r="G2327" s="1"/>
      <c r="J2327" s="1" t="s">
        <v>7559</v>
      </c>
      <c r="K2327" s="2" t="s">
        <v>10681</v>
      </c>
      <c r="P2327" s="7" t="s">
        <v>1241</v>
      </c>
      <c r="AV2327" s="1" t="s">
        <v>38</v>
      </c>
      <c r="BG2327" s="7" t="s">
        <v>1242</v>
      </c>
    </row>
    <row r="2328" spans="1:59" ht="180" x14ac:dyDescent="0.45">
      <c r="A2328" s="5">
        <v>2327</v>
      </c>
      <c r="B2328" s="1" t="s">
        <v>11486</v>
      </c>
      <c r="C2328" s="6"/>
      <c r="E2328" s="1"/>
      <c r="F2328" s="1"/>
      <c r="G2328" s="1"/>
      <c r="J2328" s="1" t="s">
        <v>7559</v>
      </c>
      <c r="K2328" s="11" t="s">
        <v>12069</v>
      </c>
      <c r="P2328" s="7" t="s">
        <v>1241</v>
      </c>
      <c r="AV2328" s="1" t="s">
        <v>38</v>
      </c>
      <c r="BG2328" s="7" t="s">
        <v>1242</v>
      </c>
    </row>
    <row r="2329" spans="1:59" ht="216" x14ac:dyDescent="0.45">
      <c r="A2329" s="5">
        <v>2328</v>
      </c>
      <c r="B2329" s="1" t="s">
        <v>11487</v>
      </c>
      <c r="C2329" s="6"/>
      <c r="E2329" s="1"/>
      <c r="F2329" s="1"/>
      <c r="G2329" s="1"/>
      <c r="J2329" s="1" t="s">
        <v>7559</v>
      </c>
      <c r="K2329" s="2" t="s">
        <v>10682</v>
      </c>
      <c r="P2329" s="7" t="s">
        <v>1241</v>
      </c>
      <c r="AV2329" s="1" t="s">
        <v>38</v>
      </c>
      <c r="BG2329" s="7" t="s">
        <v>1242</v>
      </c>
    </row>
    <row r="2330" spans="1:59" ht="378" x14ac:dyDescent="0.45">
      <c r="A2330" s="5">
        <v>2329</v>
      </c>
      <c r="B2330" s="1" t="s">
        <v>11488</v>
      </c>
      <c r="C2330" s="6"/>
      <c r="E2330" s="1"/>
      <c r="F2330" s="1"/>
      <c r="G2330" s="1"/>
      <c r="J2330" s="1" t="s">
        <v>7559</v>
      </c>
      <c r="K2330" s="2" t="s">
        <v>10683</v>
      </c>
      <c r="P2330" s="7" t="s">
        <v>1241</v>
      </c>
      <c r="AV2330" s="1" t="s">
        <v>38</v>
      </c>
      <c r="BG2330" s="7" t="s">
        <v>1242</v>
      </c>
    </row>
    <row r="2331" spans="1:59" ht="162" x14ac:dyDescent="0.45">
      <c r="A2331" s="5">
        <v>2330</v>
      </c>
      <c r="B2331" s="1" t="s">
        <v>11489</v>
      </c>
      <c r="C2331" s="6"/>
      <c r="E2331" s="1"/>
      <c r="F2331" s="1"/>
      <c r="G2331" s="1"/>
      <c r="J2331" s="1" t="s">
        <v>7559</v>
      </c>
      <c r="K2331" s="2" t="s">
        <v>10684</v>
      </c>
      <c r="P2331" s="7" t="s">
        <v>1241</v>
      </c>
      <c r="AV2331" s="1" t="s">
        <v>38</v>
      </c>
      <c r="BG2331" s="7" t="s">
        <v>1242</v>
      </c>
    </row>
    <row r="2332" spans="1:59" ht="270" x14ac:dyDescent="0.45">
      <c r="A2332" s="5">
        <v>2331</v>
      </c>
      <c r="B2332" s="1" t="s">
        <v>11490</v>
      </c>
      <c r="C2332" s="6"/>
      <c r="E2332" s="1"/>
      <c r="F2332" s="1"/>
      <c r="G2332" s="1"/>
      <c r="J2332" s="1" t="s">
        <v>7559</v>
      </c>
      <c r="K2332" s="11" t="s">
        <v>12070</v>
      </c>
      <c r="P2332" s="7" t="s">
        <v>1241</v>
      </c>
      <c r="AV2332" s="1" t="s">
        <v>38</v>
      </c>
      <c r="BG2332" s="7" t="s">
        <v>1242</v>
      </c>
    </row>
    <row r="2333" spans="1:59" ht="306" x14ac:dyDescent="0.45">
      <c r="A2333" s="5">
        <v>2332</v>
      </c>
      <c r="B2333" s="1" t="s">
        <v>11491</v>
      </c>
      <c r="C2333" s="6"/>
      <c r="E2333" s="1"/>
      <c r="F2333" s="1"/>
      <c r="G2333" s="1"/>
      <c r="J2333" s="1" t="s">
        <v>7559</v>
      </c>
      <c r="K2333" s="11" t="s">
        <v>12071</v>
      </c>
      <c r="P2333" s="7" t="s">
        <v>1241</v>
      </c>
      <c r="AV2333" s="1" t="s">
        <v>38</v>
      </c>
      <c r="BG2333" s="7" t="s">
        <v>1242</v>
      </c>
    </row>
    <row r="2334" spans="1:59" ht="378" x14ac:dyDescent="0.45">
      <c r="A2334" s="5">
        <v>2333</v>
      </c>
      <c r="B2334" s="1" t="s">
        <v>11492</v>
      </c>
      <c r="C2334" s="6"/>
      <c r="E2334" s="1"/>
      <c r="F2334" s="1"/>
      <c r="G2334" s="1"/>
      <c r="J2334" s="1" t="s">
        <v>7559</v>
      </c>
      <c r="K2334" s="2" t="s">
        <v>11756</v>
      </c>
      <c r="P2334" s="7" t="s">
        <v>1241</v>
      </c>
      <c r="AV2334" s="1" t="s">
        <v>38</v>
      </c>
      <c r="BG2334" s="7" t="s">
        <v>1242</v>
      </c>
    </row>
    <row r="2335" spans="1:59" ht="162" x14ac:dyDescent="0.45">
      <c r="A2335" s="5">
        <v>2334</v>
      </c>
      <c r="B2335" s="1" t="s">
        <v>11493</v>
      </c>
      <c r="C2335" s="6"/>
      <c r="E2335" s="1"/>
      <c r="F2335" s="1"/>
      <c r="G2335" s="1"/>
      <c r="J2335" s="1" t="s">
        <v>7559</v>
      </c>
      <c r="K2335" s="11" t="s">
        <v>12072</v>
      </c>
      <c r="P2335" s="7" t="s">
        <v>1241</v>
      </c>
      <c r="AV2335" s="1" t="s">
        <v>38</v>
      </c>
      <c r="BG2335" s="7" t="s">
        <v>1242</v>
      </c>
    </row>
    <row r="2336" spans="1:59" ht="252" x14ac:dyDescent="0.45">
      <c r="A2336" s="5">
        <v>2335</v>
      </c>
      <c r="B2336" s="1" t="s">
        <v>11494</v>
      </c>
      <c r="C2336" s="6"/>
      <c r="E2336" s="1"/>
      <c r="F2336" s="1"/>
      <c r="G2336" s="1"/>
      <c r="J2336" s="1" t="s">
        <v>7559</v>
      </c>
      <c r="K2336" s="2" t="s">
        <v>10686</v>
      </c>
      <c r="P2336" s="7" t="s">
        <v>1241</v>
      </c>
      <c r="AV2336" s="1" t="s">
        <v>38</v>
      </c>
      <c r="BG2336" s="7" t="s">
        <v>1242</v>
      </c>
    </row>
    <row r="2337" spans="1:59" ht="306" x14ac:dyDescent="0.45">
      <c r="A2337" s="5">
        <v>2336</v>
      </c>
      <c r="B2337" s="1" t="s">
        <v>11757</v>
      </c>
      <c r="C2337" s="6"/>
      <c r="E2337" s="1"/>
      <c r="F2337" s="1"/>
      <c r="G2337" s="1"/>
      <c r="J2337" s="1" t="s">
        <v>7559</v>
      </c>
      <c r="K2337" s="11" t="s">
        <v>12073</v>
      </c>
      <c r="P2337" s="7" t="s">
        <v>1241</v>
      </c>
      <c r="AV2337" s="1" t="s">
        <v>38</v>
      </c>
      <c r="BG2337" s="7" t="s">
        <v>1242</v>
      </c>
    </row>
    <row r="2338" spans="1:59" ht="306" x14ac:dyDescent="0.45">
      <c r="A2338" s="5">
        <v>2337</v>
      </c>
      <c r="B2338" s="1" t="s">
        <v>11495</v>
      </c>
      <c r="C2338" s="6"/>
      <c r="E2338" s="1"/>
      <c r="F2338" s="1"/>
      <c r="G2338" s="1"/>
      <c r="J2338" s="1" t="s">
        <v>7559</v>
      </c>
      <c r="K2338" s="11" t="s">
        <v>12074</v>
      </c>
      <c r="P2338" s="7" t="s">
        <v>1241</v>
      </c>
      <c r="AV2338" s="1" t="s">
        <v>38</v>
      </c>
      <c r="BG2338" s="7" t="s">
        <v>1242</v>
      </c>
    </row>
    <row r="2339" spans="1:59" ht="324" x14ac:dyDescent="0.45">
      <c r="A2339" s="5">
        <v>2338</v>
      </c>
      <c r="B2339" s="1" t="s">
        <v>11496</v>
      </c>
      <c r="C2339" s="6"/>
      <c r="E2339" s="1"/>
      <c r="F2339" s="1"/>
      <c r="G2339" s="1"/>
      <c r="J2339" s="1" t="s">
        <v>7559</v>
      </c>
      <c r="K2339" s="11" t="s">
        <v>12075</v>
      </c>
      <c r="P2339" s="7" t="s">
        <v>1241</v>
      </c>
      <c r="AV2339" s="1" t="s">
        <v>38</v>
      </c>
      <c r="BG2339" s="7" t="s">
        <v>1242</v>
      </c>
    </row>
    <row r="2340" spans="1:59" ht="306" x14ac:dyDescent="0.45">
      <c r="A2340" s="5">
        <v>2339</v>
      </c>
      <c r="B2340" s="1" t="s">
        <v>11497</v>
      </c>
      <c r="C2340" s="6"/>
      <c r="E2340" s="1"/>
      <c r="F2340" s="1"/>
      <c r="G2340" s="1"/>
      <c r="J2340" s="1" t="s">
        <v>7559</v>
      </c>
      <c r="K2340" s="11" t="s">
        <v>12076</v>
      </c>
      <c r="P2340" s="7" t="s">
        <v>1241</v>
      </c>
      <c r="AV2340" s="1" t="s">
        <v>38</v>
      </c>
      <c r="BG2340" s="7" t="s">
        <v>1242</v>
      </c>
    </row>
    <row r="2341" spans="1:59" ht="180" x14ac:dyDescent="0.45">
      <c r="A2341" s="5">
        <v>2340</v>
      </c>
      <c r="B2341" s="1" t="s">
        <v>11498</v>
      </c>
      <c r="C2341" s="6"/>
      <c r="E2341" s="1"/>
      <c r="F2341" s="1"/>
      <c r="G2341" s="1"/>
      <c r="J2341" s="1" t="s">
        <v>7559</v>
      </c>
      <c r="K2341" s="2" t="s">
        <v>10687</v>
      </c>
      <c r="P2341" s="7" t="s">
        <v>1241</v>
      </c>
      <c r="AV2341" s="1" t="s">
        <v>38</v>
      </c>
      <c r="BG2341" s="7" t="s">
        <v>1242</v>
      </c>
    </row>
    <row r="2342" spans="1:59" ht="144" x14ac:dyDescent="0.45">
      <c r="A2342" s="5">
        <v>2341</v>
      </c>
      <c r="B2342" s="1" t="s">
        <v>11499</v>
      </c>
      <c r="C2342" s="6"/>
      <c r="E2342" s="1"/>
      <c r="F2342" s="1"/>
      <c r="G2342" s="1"/>
      <c r="J2342" s="1" t="s">
        <v>7559</v>
      </c>
      <c r="K2342" s="11" t="s">
        <v>12077</v>
      </c>
      <c r="P2342" s="7" t="s">
        <v>1241</v>
      </c>
      <c r="AV2342" s="1" t="s">
        <v>38</v>
      </c>
      <c r="BG2342" s="7" t="s">
        <v>1242</v>
      </c>
    </row>
    <row r="2343" spans="1:59" ht="126" x14ac:dyDescent="0.45">
      <c r="A2343" s="5">
        <v>2342</v>
      </c>
      <c r="B2343" s="1" t="s">
        <v>11500</v>
      </c>
      <c r="C2343" s="6"/>
      <c r="E2343" s="1"/>
      <c r="F2343" s="1"/>
      <c r="G2343" s="1"/>
      <c r="J2343" s="1" t="s">
        <v>7559</v>
      </c>
      <c r="K2343" s="2" t="s">
        <v>10688</v>
      </c>
      <c r="P2343" s="7" t="s">
        <v>1241</v>
      </c>
      <c r="AV2343" s="1" t="s">
        <v>38</v>
      </c>
      <c r="BG2343" s="7" t="s">
        <v>1242</v>
      </c>
    </row>
    <row r="2344" spans="1:59" ht="162" x14ac:dyDescent="0.45">
      <c r="A2344" s="5">
        <v>2343</v>
      </c>
      <c r="B2344" s="1" t="s">
        <v>11501</v>
      </c>
      <c r="C2344" s="6"/>
      <c r="E2344" s="1"/>
      <c r="F2344" s="1"/>
      <c r="G2344" s="1"/>
      <c r="J2344" s="1" t="s">
        <v>7559</v>
      </c>
      <c r="K2344" s="11" t="s">
        <v>12078</v>
      </c>
      <c r="P2344" s="7" t="s">
        <v>1241</v>
      </c>
      <c r="AV2344" s="1" t="s">
        <v>38</v>
      </c>
      <c r="BG2344" s="7" t="s">
        <v>1242</v>
      </c>
    </row>
    <row r="2345" spans="1:59" ht="180" x14ac:dyDescent="0.45">
      <c r="A2345" s="5">
        <v>2344</v>
      </c>
      <c r="B2345" s="1" t="s">
        <v>11502</v>
      </c>
      <c r="C2345" s="6"/>
      <c r="E2345" s="1"/>
      <c r="F2345" s="1"/>
      <c r="G2345" s="1"/>
      <c r="J2345" s="1" t="s">
        <v>7559</v>
      </c>
      <c r="K2345" s="11" t="s">
        <v>12079</v>
      </c>
      <c r="P2345" s="7" t="s">
        <v>1241</v>
      </c>
      <c r="AV2345" s="1" t="s">
        <v>38</v>
      </c>
      <c r="BG2345" s="7" t="s">
        <v>1242</v>
      </c>
    </row>
    <row r="2346" spans="1:59" ht="252" x14ac:dyDescent="0.45">
      <c r="A2346" s="5">
        <v>2345</v>
      </c>
      <c r="B2346" s="1" t="s">
        <v>11503</v>
      </c>
      <c r="C2346" s="6"/>
      <c r="E2346" s="1"/>
      <c r="F2346" s="1"/>
      <c r="G2346" s="1"/>
      <c r="J2346" s="1" t="s">
        <v>7559</v>
      </c>
      <c r="K2346" s="2" t="s">
        <v>10689</v>
      </c>
      <c r="P2346" s="7" t="s">
        <v>1241</v>
      </c>
      <c r="AV2346" s="1" t="s">
        <v>38</v>
      </c>
      <c r="BG2346" s="7" t="s">
        <v>1242</v>
      </c>
    </row>
    <row r="2347" spans="1:59" ht="409.6" x14ac:dyDescent="0.45">
      <c r="A2347" s="5">
        <v>2346</v>
      </c>
      <c r="B2347" s="1" t="s">
        <v>11504</v>
      </c>
      <c r="C2347" s="6"/>
      <c r="E2347" s="1"/>
      <c r="F2347" s="1"/>
      <c r="G2347" s="1"/>
      <c r="J2347" s="1" t="s">
        <v>7559</v>
      </c>
      <c r="K2347" s="11" t="s">
        <v>12080</v>
      </c>
      <c r="P2347" s="7" t="s">
        <v>1241</v>
      </c>
      <c r="AV2347" s="1" t="s">
        <v>38</v>
      </c>
      <c r="BG2347" s="7" t="s">
        <v>1242</v>
      </c>
    </row>
    <row r="2348" spans="1:59" ht="234" x14ac:dyDescent="0.45">
      <c r="A2348" s="5">
        <v>2347</v>
      </c>
      <c r="B2348" s="1" t="s">
        <v>11505</v>
      </c>
      <c r="C2348" s="6"/>
      <c r="E2348" s="1"/>
      <c r="F2348" s="1"/>
      <c r="G2348" s="1"/>
      <c r="J2348" s="1" t="s">
        <v>7559</v>
      </c>
      <c r="K2348" s="11" t="s">
        <v>12081</v>
      </c>
      <c r="P2348" s="7" t="s">
        <v>1241</v>
      </c>
      <c r="AV2348" s="1" t="s">
        <v>38</v>
      </c>
      <c r="BG2348" s="7" t="s">
        <v>1242</v>
      </c>
    </row>
    <row r="2349" spans="1:59" ht="270" x14ac:dyDescent="0.45">
      <c r="A2349" s="5">
        <v>2348</v>
      </c>
      <c r="B2349" s="1" t="s">
        <v>11506</v>
      </c>
      <c r="C2349" s="6"/>
      <c r="E2349" s="1"/>
      <c r="F2349" s="1"/>
      <c r="G2349" s="1"/>
      <c r="J2349" s="1" t="s">
        <v>7559</v>
      </c>
      <c r="K2349" s="11" t="s">
        <v>12082</v>
      </c>
      <c r="P2349" s="7" t="s">
        <v>1241</v>
      </c>
      <c r="AV2349" s="1" t="s">
        <v>38</v>
      </c>
      <c r="BG2349" s="7" t="s">
        <v>1242</v>
      </c>
    </row>
    <row r="2350" spans="1:59" ht="162" x14ac:dyDescent="0.45">
      <c r="A2350" s="5">
        <v>2349</v>
      </c>
      <c r="B2350" s="1" t="s">
        <v>11507</v>
      </c>
      <c r="C2350" s="6"/>
      <c r="E2350" s="1"/>
      <c r="F2350" s="1"/>
      <c r="G2350" s="1"/>
      <c r="J2350" s="1" t="s">
        <v>7559</v>
      </c>
      <c r="K2350" s="2" t="s">
        <v>10698</v>
      </c>
      <c r="P2350" s="7" t="s">
        <v>1241</v>
      </c>
      <c r="AV2350" s="1" t="s">
        <v>38</v>
      </c>
      <c r="BG2350" s="7" t="s">
        <v>1242</v>
      </c>
    </row>
    <row r="2351" spans="1:59" ht="409.6" x14ac:dyDescent="0.45">
      <c r="A2351" s="5">
        <v>2350</v>
      </c>
      <c r="B2351" s="1" t="s">
        <v>11508</v>
      </c>
      <c r="C2351" s="6"/>
      <c r="E2351" s="1"/>
      <c r="F2351" s="1"/>
      <c r="G2351" s="1"/>
      <c r="J2351" s="1" t="s">
        <v>7559</v>
      </c>
      <c r="K2351" s="2" t="s">
        <v>10699</v>
      </c>
      <c r="P2351" s="7" t="s">
        <v>1241</v>
      </c>
      <c r="AV2351" s="1" t="s">
        <v>38</v>
      </c>
      <c r="BG2351" s="7" t="s">
        <v>1242</v>
      </c>
    </row>
    <row r="2352" spans="1:59" ht="216" x14ac:dyDescent="0.45">
      <c r="A2352" s="5">
        <v>2351</v>
      </c>
      <c r="B2352" s="1" t="s">
        <v>11509</v>
      </c>
      <c r="C2352" s="6"/>
      <c r="E2352" s="1"/>
      <c r="F2352" s="1"/>
      <c r="G2352" s="1"/>
      <c r="J2352" s="1" t="s">
        <v>7559</v>
      </c>
      <c r="K2352" s="2" t="s">
        <v>10700</v>
      </c>
      <c r="P2352" s="7" t="s">
        <v>1241</v>
      </c>
      <c r="AV2352" s="1" t="s">
        <v>38</v>
      </c>
      <c r="BG2352" s="7" t="s">
        <v>1242</v>
      </c>
    </row>
    <row r="2353" spans="1:59" ht="324" x14ac:dyDescent="0.45">
      <c r="A2353" s="5">
        <v>2352</v>
      </c>
      <c r="B2353" s="1" t="s">
        <v>11510</v>
      </c>
      <c r="C2353" s="6"/>
      <c r="E2353" s="1"/>
      <c r="F2353" s="1"/>
      <c r="G2353" s="1"/>
      <c r="J2353" s="1" t="s">
        <v>7559</v>
      </c>
      <c r="K2353" s="11" t="s">
        <v>12083</v>
      </c>
      <c r="P2353" s="7" t="s">
        <v>1241</v>
      </c>
      <c r="AV2353" s="1" t="s">
        <v>38</v>
      </c>
      <c r="BG2353" s="7" t="s">
        <v>1242</v>
      </c>
    </row>
    <row r="2354" spans="1:59" ht="198" x14ac:dyDescent="0.45">
      <c r="A2354" s="5">
        <v>2353</v>
      </c>
      <c r="B2354" s="1" t="s">
        <v>11511</v>
      </c>
      <c r="C2354" s="6"/>
      <c r="E2354" s="1"/>
      <c r="F2354" s="1"/>
      <c r="G2354" s="1"/>
      <c r="J2354" s="1" t="s">
        <v>7559</v>
      </c>
      <c r="K2354" s="11" t="s">
        <v>12084</v>
      </c>
      <c r="P2354" s="7" t="s">
        <v>1241</v>
      </c>
      <c r="AV2354" s="1" t="s">
        <v>38</v>
      </c>
      <c r="BG2354" s="7" t="s">
        <v>1242</v>
      </c>
    </row>
    <row r="2355" spans="1:59" ht="409.6" x14ac:dyDescent="0.45">
      <c r="A2355" s="5">
        <v>2354</v>
      </c>
      <c r="B2355" s="1" t="s">
        <v>11512</v>
      </c>
      <c r="C2355" s="6"/>
      <c r="E2355" s="1"/>
      <c r="F2355" s="1"/>
      <c r="G2355" s="1"/>
      <c r="J2355" s="1" t="s">
        <v>7559</v>
      </c>
      <c r="K2355" s="11" t="s">
        <v>12085</v>
      </c>
      <c r="P2355" s="7" t="s">
        <v>1241</v>
      </c>
      <c r="AV2355" s="1" t="s">
        <v>38</v>
      </c>
      <c r="BG2355" s="7" t="s">
        <v>1242</v>
      </c>
    </row>
    <row r="2356" spans="1:59" ht="360" x14ac:dyDescent="0.45">
      <c r="A2356" s="5">
        <v>2355</v>
      </c>
      <c r="B2356" s="1" t="s">
        <v>11513</v>
      </c>
      <c r="C2356" s="6"/>
      <c r="E2356" s="1"/>
      <c r="F2356" s="1"/>
      <c r="G2356" s="1"/>
      <c r="J2356" s="1" t="s">
        <v>7559</v>
      </c>
      <c r="K2356" s="11" t="s">
        <v>12086</v>
      </c>
      <c r="P2356" s="7" t="s">
        <v>1241</v>
      </c>
      <c r="AV2356" s="1" t="s">
        <v>38</v>
      </c>
      <c r="BG2356" s="7" t="s">
        <v>1242</v>
      </c>
    </row>
    <row r="2357" spans="1:59" ht="252" x14ac:dyDescent="0.45">
      <c r="A2357" s="5">
        <v>2356</v>
      </c>
      <c r="B2357" s="1" t="s">
        <v>11514</v>
      </c>
      <c r="C2357" s="6"/>
      <c r="E2357" s="1"/>
      <c r="F2357" s="1"/>
      <c r="G2357" s="1"/>
      <c r="J2357" s="1" t="s">
        <v>7559</v>
      </c>
      <c r="K2357" s="11" t="s">
        <v>12087</v>
      </c>
      <c r="P2357" s="7" t="s">
        <v>1241</v>
      </c>
      <c r="AV2357" s="1" t="s">
        <v>38</v>
      </c>
      <c r="BG2357" s="7" t="s">
        <v>1242</v>
      </c>
    </row>
    <row r="2358" spans="1:59" ht="306" x14ac:dyDescent="0.45">
      <c r="A2358" s="5">
        <v>2357</v>
      </c>
      <c r="B2358" s="1" t="s">
        <v>11515</v>
      </c>
      <c r="C2358" s="6"/>
      <c r="E2358" s="1"/>
      <c r="F2358" s="1"/>
      <c r="G2358" s="1"/>
      <c r="J2358" s="1" t="s">
        <v>7559</v>
      </c>
      <c r="K2358" s="11" t="s">
        <v>12088</v>
      </c>
      <c r="P2358" s="7" t="s">
        <v>1241</v>
      </c>
      <c r="AV2358" s="1" t="s">
        <v>38</v>
      </c>
      <c r="BG2358" s="7" t="s">
        <v>1242</v>
      </c>
    </row>
    <row r="2359" spans="1:59" ht="234" x14ac:dyDescent="0.45">
      <c r="A2359" s="5">
        <v>2358</v>
      </c>
      <c r="B2359" s="1" t="s">
        <v>11516</v>
      </c>
      <c r="C2359" s="6"/>
      <c r="E2359" s="1"/>
      <c r="F2359" s="1"/>
      <c r="G2359" s="1"/>
      <c r="J2359" s="1" t="s">
        <v>7559</v>
      </c>
      <c r="K2359" s="11" t="s">
        <v>12089</v>
      </c>
      <c r="P2359" s="7" t="s">
        <v>1241</v>
      </c>
      <c r="AV2359" s="1" t="s">
        <v>38</v>
      </c>
      <c r="BG2359" s="7" t="s">
        <v>1242</v>
      </c>
    </row>
    <row r="2360" spans="1:59" ht="288" x14ac:dyDescent="0.45">
      <c r="A2360" s="5">
        <v>2359</v>
      </c>
      <c r="B2360" s="1" t="s">
        <v>11517</v>
      </c>
      <c r="C2360" s="6"/>
      <c r="E2360" s="1"/>
      <c r="F2360" s="1"/>
      <c r="G2360" s="1"/>
      <c r="J2360" s="1" t="s">
        <v>7559</v>
      </c>
      <c r="K2360" s="2" t="s">
        <v>10701</v>
      </c>
      <c r="P2360" s="7" t="s">
        <v>1241</v>
      </c>
      <c r="AV2360" s="1" t="s">
        <v>38</v>
      </c>
      <c r="BG2360" s="7" t="s">
        <v>1242</v>
      </c>
    </row>
    <row r="2361" spans="1:59" ht="216" x14ac:dyDescent="0.45">
      <c r="A2361" s="5">
        <v>2360</v>
      </c>
      <c r="B2361" s="1" t="s">
        <v>11518</v>
      </c>
      <c r="C2361" s="6"/>
      <c r="E2361" s="1"/>
      <c r="F2361" s="1"/>
      <c r="G2361" s="1"/>
      <c r="J2361" s="1" t="s">
        <v>7559</v>
      </c>
      <c r="K2361" s="11" t="s">
        <v>12090</v>
      </c>
      <c r="P2361" s="7" t="s">
        <v>1241</v>
      </c>
      <c r="AV2361" s="1" t="s">
        <v>38</v>
      </c>
      <c r="BG2361" s="7" t="s">
        <v>1242</v>
      </c>
    </row>
    <row r="2362" spans="1:59" ht="252" x14ac:dyDescent="0.45">
      <c r="A2362" s="5">
        <v>2361</v>
      </c>
      <c r="B2362" s="1" t="s">
        <v>11519</v>
      </c>
      <c r="C2362" s="6"/>
      <c r="E2362" s="1"/>
      <c r="F2362" s="1"/>
      <c r="G2362" s="1"/>
      <c r="J2362" s="1" t="s">
        <v>7559</v>
      </c>
      <c r="K2362" s="2" t="s">
        <v>10702</v>
      </c>
      <c r="P2362" s="7" t="s">
        <v>1241</v>
      </c>
      <c r="AV2362" s="1" t="s">
        <v>38</v>
      </c>
      <c r="BG2362" s="7" t="s">
        <v>1242</v>
      </c>
    </row>
    <row r="2363" spans="1:59" ht="252" x14ac:dyDescent="0.45">
      <c r="A2363" s="5">
        <v>2362</v>
      </c>
      <c r="B2363" s="1" t="s">
        <v>11520</v>
      </c>
      <c r="C2363" s="6"/>
      <c r="E2363" s="1"/>
      <c r="F2363" s="1"/>
      <c r="G2363" s="1"/>
      <c r="J2363" s="1" t="s">
        <v>7559</v>
      </c>
      <c r="K2363" s="11" t="s">
        <v>12091</v>
      </c>
      <c r="P2363" s="7" t="s">
        <v>1241</v>
      </c>
      <c r="AV2363" s="1" t="s">
        <v>38</v>
      </c>
      <c r="BG2363" s="7" t="s">
        <v>1242</v>
      </c>
    </row>
    <row r="2364" spans="1:59" ht="409.6" x14ac:dyDescent="0.45">
      <c r="A2364" s="5">
        <v>2363</v>
      </c>
      <c r="B2364" s="1" t="s">
        <v>11521</v>
      </c>
      <c r="C2364" s="6"/>
      <c r="E2364" s="1"/>
      <c r="F2364" s="1"/>
      <c r="G2364" s="1"/>
      <c r="J2364" s="1" t="s">
        <v>7559</v>
      </c>
      <c r="K2364" s="11" t="s">
        <v>12092</v>
      </c>
      <c r="P2364" s="7" t="s">
        <v>1241</v>
      </c>
      <c r="AV2364" s="1" t="s">
        <v>38</v>
      </c>
      <c r="BG2364" s="7" t="s">
        <v>1242</v>
      </c>
    </row>
    <row r="2365" spans="1:59" ht="409.6" x14ac:dyDescent="0.45">
      <c r="A2365" s="5">
        <v>2364</v>
      </c>
      <c r="B2365" s="1" t="s">
        <v>11522</v>
      </c>
      <c r="C2365" s="6"/>
      <c r="E2365" s="1"/>
      <c r="F2365" s="1"/>
      <c r="G2365" s="1"/>
      <c r="J2365" s="1" t="s">
        <v>7559</v>
      </c>
      <c r="K2365" s="2" t="s">
        <v>11675</v>
      </c>
      <c r="P2365" s="7" t="s">
        <v>1241</v>
      </c>
      <c r="AV2365" s="1" t="s">
        <v>38</v>
      </c>
      <c r="BG2365" s="7" t="s">
        <v>1242</v>
      </c>
    </row>
    <row r="2366" spans="1:59" ht="234" x14ac:dyDescent="0.45">
      <c r="A2366" s="5">
        <v>2365</v>
      </c>
      <c r="B2366" s="1" t="s">
        <v>11523</v>
      </c>
      <c r="C2366" s="6"/>
      <c r="E2366" s="1"/>
      <c r="F2366" s="1"/>
      <c r="G2366" s="1"/>
      <c r="J2366" s="1" t="s">
        <v>7559</v>
      </c>
      <c r="K2366" s="11" t="s">
        <v>12093</v>
      </c>
      <c r="P2366" s="7" t="s">
        <v>1241</v>
      </c>
      <c r="AV2366" s="1" t="s">
        <v>38</v>
      </c>
      <c r="BG2366" s="7" t="s">
        <v>1242</v>
      </c>
    </row>
    <row r="2367" spans="1:59" ht="270" x14ac:dyDescent="0.45">
      <c r="A2367" s="5">
        <v>2366</v>
      </c>
      <c r="B2367" s="1" t="s">
        <v>11524</v>
      </c>
      <c r="C2367" s="6"/>
      <c r="E2367" s="1"/>
      <c r="F2367" s="1"/>
      <c r="G2367" s="1"/>
      <c r="J2367" s="1" t="s">
        <v>7559</v>
      </c>
      <c r="K2367" s="11" t="s">
        <v>12094</v>
      </c>
      <c r="P2367" s="7" t="s">
        <v>1241</v>
      </c>
      <c r="AV2367" s="1" t="s">
        <v>38</v>
      </c>
      <c r="BG2367" s="7" t="s">
        <v>1242</v>
      </c>
    </row>
    <row r="2368" spans="1:59" ht="252" x14ac:dyDescent="0.45">
      <c r="A2368" s="5">
        <v>2367</v>
      </c>
      <c r="B2368" s="1" t="s">
        <v>11525</v>
      </c>
      <c r="C2368" s="6"/>
      <c r="E2368" s="1"/>
      <c r="F2368" s="1"/>
      <c r="G2368" s="1"/>
      <c r="J2368" s="1" t="s">
        <v>7559</v>
      </c>
      <c r="K2368" s="11" t="s">
        <v>12095</v>
      </c>
      <c r="P2368" s="7" t="s">
        <v>1241</v>
      </c>
      <c r="AV2368" s="1" t="s">
        <v>38</v>
      </c>
      <c r="BG2368" s="7" t="s">
        <v>1242</v>
      </c>
    </row>
    <row r="2369" spans="1:59" ht="342" x14ac:dyDescent="0.45">
      <c r="A2369" s="5">
        <v>2368</v>
      </c>
      <c r="B2369" s="1" t="s">
        <v>11526</v>
      </c>
      <c r="C2369" s="6"/>
      <c r="E2369" s="1"/>
      <c r="F2369" s="1"/>
      <c r="G2369" s="1"/>
      <c r="J2369" s="1" t="s">
        <v>7559</v>
      </c>
      <c r="K2369" s="2" t="s">
        <v>10708</v>
      </c>
      <c r="P2369" s="7" t="s">
        <v>1241</v>
      </c>
      <c r="AV2369" s="1" t="s">
        <v>38</v>
      </c>
      <c r="BG2369" s="7" t="s">
        <v>1242</v>
      </c>
    </row>
    <row r="2370" spans="1:59" ht="360" x14ac:dyDescent="0.45">
      <c r="A2370" s="5">
        <v>2369</v>
      </c>
      <c r="B2370" s="1" t="s">
        <v>11527</v>
      </c>
      <c r="C2370" s="6"/>
      <c r="E2370" s="1"/>
      <c r="F2370" s="1"/>
      <c r="G2370" s="1"/>
      <c r="J2370" s="1" t="s">
        <v>7559</v>
      </c>
      <c r="K2370" s="2" t="s">
        <v>11676</v>
      </c>
      <c r="P2370" s="7" t="s">
        <v>1241</v>
      </c>
      <c r="AV2370" s="1" t="s">
        <v>38</v>
      </c>
      <c r="BG2370" s="7" t="s">
        <v>1242</v>
      </c>
    </row>
    <row r="2371" spans="1:59" ht="108" x14ac:dyDescent="0.45">
      <c r="A2371" s="5">
        <v>2370</v>
      </c>
      <c r="B2371" s="1" t="s">
        <v>11528</v>
      </c>
      <c r="C2371" s="6"/>
      <c r="E2371" s="1"/>
      <c r="F2371" s="1"/>
      <c r="G2371" s="1"/>
      <c r="J2371" s="1" t="s">
        <v>7559</v>
      </c>
      <c r="K2371" s="2" t="s">
        <v>10709</v>
      </c>
      <c r="P2371" s="7" t="s">
        <v>1241</v>
      </c>
      <c r="AV2371" s="1" t="s">
        <v>38</v>
      </c>
      <c r="BG2371" s="7" t="s">
        <v>1242</v>
      </c>
    </row>
    <row r="2372" spans="1:59" ht="270" x14ac:dyDescent="0.45">
      <c r="A2372" s="5">
        <v>2371</v>
      </c>
      <c r="B2372" s="1" t="s">
        <v>11529</v>
      </c>
      <c r="C2372" s="6"/>
      <c r="E2372" s="1"/>
      <c r="F2372" s="1"/>
      <c r="G2372" s="1"/>
      <c r="J2372" s="1" t="s">
        <v>7559</v>
      </c>
      <c r="K2372" s="11" t="s">
        <v>12096</v>
      </c>
      <c r="P2372" s="7" t="s">
        <v>1241</v>
      </c>
      <c r="AV2372" s="1" t="s">
        <v>38</v>
      </c>
      <c r="BG2372" s="7" t="s">
        <v>1242</v>
      </c>
    </row>
    <row r="2373" spans="1:59" ht="126" x14ac:dyDescent="0.45">
      <c r="A2373" s="5">
        <v>2372</v>
      </c>
      <c r="B2373" s="1" t="s">
        <v>11530</v>
      </c>
      <c r="C2373" s="6"/>
      <c r="E2373" s="1"/>
      <c r="F2373" s="1"/>
      <c r="G2373" s="1"/>
      <c r="J2373" s="1" t="s">
        <v>7559</v>
      </c>
      <c r="K2373" s="2" t="s">
        <v>10710</v>
      </c>
      <c r="P2373" s="7" t="s">
        <v>1241</v>
      </c>
      <c r="AV2373" s="1" t="s">
        <v>38</v>
      </c>
      <c r="BG2373" s="7" t="s">
        <v>1242</v>
      </c>
    </row>
    <row r="2374" spans="1:59" ht="324" x14ac:dyDescent="0.45">
      <c r="A2374" s="5">
        <v>2373</v>
      </c>
      <c r="B2374" s="1" t="s">
        <v>11531</v>
      </c>
      <c r="C2374" s="6"/>
      <c r="E2374" s="1"/>
      <c r="F2374" s="1"/>
      <c r="G2374" s="1"/>
      <c r="J2374" s="1" t="s">
        <v>7559</v>
      </c>
      <c r="K2374" s="11" t="s">
        <v>12097</v>
      </c>
      <c r="P2374" s="7" t="s">
        <v>1241</v>
      </c>
      <c r="AV2374" s="1" t="s">
        <v>38</v>
      </c>
      <c r="BG2374" s="7" t="s">
        <v>1242</v>
      </c>
    </row>
    <row r="2375" spans="1:59" ht="378" x14ac:dyDescent="0.45">
      <c r="A2375" s="5">
        <v>2374</v>
      </c>
      <c r="B2375" s="1" t="s">
        <v>11532</v>
      </c>
      <c r="C2375" s="6"/>
      <c r="E2375" s="1"/>
      <c r="F2375" s="1"/>
      <c r="G2375" s="1"/>
      <c r="J2375" s="1" t="s">
        <v>7559</v>
      </c>
      <c r="K2375" s="11" t="s">
        <v>12098</v>
      </c>
      <c r="P2375" s="7" t="s">
        <v>1241</v>
      </c>
      <c r="AV2375" s="1" t="s">
        <v>38</v>
      </c>
      <c r="BG2375" s="7" t="s">
        <v>1242</v>
      </c>
    </row>
    <row r="2376" spans="1:59" ht="234" x14ac:dyDescent="0.45">
      <c r="A2376" s="5">
        <v>2375</v>
      </c>
      <c r="B2376" s="1" t="s">
        <v>11533</v>
      </c>
      <c r="C2376" s="6"/>
      <c r="E2376" s="1"/>
      <c r="F2376" s="1"/>
      <c r="G2376" s="1"/>
      <c r="J2376" s="1" t="s">
        <v>7559</v>
      </c>
      <c r="K2376" s="2" t="s">
        <v>10711</v>
      </c>
      <c r="P2376" s="7" t="s">
        <v>1241</v>
      </c>
      <c r="AV2376" s="1" t="s">
        <v>38</v>
      </c>
      <c r="BG2376" s="7" t="s">
        <v>1242</v>
      </c>
    </row>
    <row r="2377" spans="1:59" ht="324" x14ac:dyDescent="0.45">
      <c r="A2377" s="5">
        <v>2376</v>
      </c>
      <c r="B2377" s="1" t="s">
        <v>11534</v>
      </c>
      <c r="C2377" s="6"/>
      <c r="E2377" s="1"/>
      <c r="F2377" s="1"/>
      <c r="G2377" s="1"/>
      <c r="J2377" s="1" t="s">
        <v>7559</v>
      </c>
      <c r="K2377" s="11" t="s">
        <v>12099</v>
      </c>
      <c r="P2377" s="7" t="s">
        <v>1241</v>
      </c>
      <c r="AV2377" s="1" t="s">
        <v>38</v>
      </c>
      <c r="BG2377" s="7" t="s">
        <v>1242</v>
      </c>
    </row>
    <row r="2378" spans="1:59" ht="306" x14ac:dyDescent="0.45">
      <c r="A2378" s="5">
        <v>2377</v>
      </c>
      <c r="B2378" s="1" t="s">
        <v>11535</v>
      </c>
      <c r="C2378" s="6"/>
      <c r="E2378" s="1"/>
      <c r="F2378" s="1"/>
      <c r="G2378" s="1"/>
      <c r="J2378" s="1" t="s">
        <v>7559</v>
      </c>
      <c r="K2378" s="11" t="s">
        <v>12100</v>
      </c>
      <c r="P2378" s="7" t="s">
        <v>1241</v>
      </c>
      <c r="AV2378" s="1" t="s">
        <v>38</v>
      </c>
      <c r="BG2378" s="7" t="s">
        <v>1242</v>
      </c>
    </row>
    <row r="2379" spans="1:59" ht="198" x14ac:dyDescent="0.45">
      <c r="A2379" s="5">
        <v>2378</v>
      </c>
      <c r="B2379" s="1" t="s">
        <v>11536</v>
      </c>
      <c r="C2379" s="6"/>
      <c r="E2379" s="1"/>
      <c r="F2379" s="1"/>
      <c r="G2379" s="1"/>
      <c r="J2379" s="1" t="s">
        <v>7559</v>
      </c>
      <c r="K2379" s="2" t="s">
        <v>10712</v>
      </c>
      <c r="P2379" s="7" t="s">
        <v>1241</v>
      </c>
      <c r="AV2379" s="1" t="s">
        <v>38</v>
      </c>
      <c r="BG2379" s="7" t="s">
        <v>1242</v>
      </c>
    </row>
    <row r="2380" spans="1:59" ht="180" x14ac:dyDescent="0.45">
      <c r="A2380" s="5">
        <v>2379</v>
      </c>
      <c r="B2380" s="1" t="s">
        <v>11537</v>
      </c>
      <c r="C2380" s="6"/>
      <c r="E2380" s="1"/>
      <c r="F2380" s="1"/>
      <c r="G2380" s="1"/>
      <c r="J2380" s="1" t="s">
        <v>7559</v>
      </c>
      <c r="K2380" s="2" t="s">
        <v>10713</v>
      </c>
      <c r="P2380" s="7" t="s">
        <v>1241</v>
      </c>
      <c r="AV2380" s="1" t="s">
        <v>38</v>
      </c>
      <c r="BG2380" s="7" t="s">
        <v>1242</v>
      </c>
    </row>
    <row r="2381" spans="1:59" ht="180" x14ac:dyDescent="0.45">
      <c r="A2381" s="5">
        <v>2380</v>
      </c>
      <c r="B2381" s="1" t="s">
        <v>11538</v>
      </c>
      <c r="C2381" s="6"/>
      <c r="E2381" s="1"/>
      <c r="F2381" s="1"/>
      <c r="G2381" s="1"/>
      <c r="J2381" s="1" t="s">
        <v>7559</v>
      </c>
      <c r="K2381" s="11" t="s">
        <v>12101</v>
      </c>
      <c r="P2381" s="7" t="s">
        <v>1241</v>
      </c>
      <c r="AV2381" s="1" t="s">
        <v>38</v>
      </c>
      <c r="BG2381" s="7" t="s">
        <v>1242</v>
      </c>
    </row>
    <row r="2382" spans="1:59" ht="180" x14ac:dyDescent="0.45">
      <c r="A2382" s="5">
        <v>2381</v>
      </c>
      <c r="B2382" s="1" t="s">
        <v>11539</v>
      </c>
      <c r="C2382" s="6"/>
      <c r="E2382" s="1"/>
      <c r="F2382" s="1"/>
      <c r="G2382" s="1"/>
      <c r="J2382" s="1" t="s">
        <v>7559</v>
      </c>
      <c r="K2382" s="2" t="s">
        <v>10714</v>
      </c>
      <c r="P2382" s="7" t="s">
        <v>1241</v>
      </c>
      <c r="AV2382" s="1" t="s">
        <v>38</v>
      </c>
      <c r="BG2382" s="7" t="s">
        <v>1242</v>
      </c>
    </row>
    <row r="2383" spans="1:59" ht="180" x14ac:dyDescent="0.45">
      <c r="A2383" s="5">
        <v>2382</v>
      </c>
      <c r="B2383" s="1" t="s">
        <v>11540</v>
      </c>
      <c r="C2383" s="6"/>
      <c r="E2383" s="1"/>
      <c r="F2383" s="1"/>
      <c r="G2383" s="1"/>
      <c r="J2383" s="1" t="s">
        <v>7559</v>
      </c>
      <c r="K2383" s="2" t="s">
        <v>10715</v>
      </c>
      <c r="P2383" s="7" t="s">
        <v>1241</v>
      </c>
      <c r="AV2383" s="1" t="s">
        <v>38</v>
      </c>
      <c r="BG2383" s="7" t="s">
        <v>1242</v>
      </c>
    </row>
    <row r="2384" spans="1:59" ht="180" x14ac:dyDescent="0.45">
      <c r="A2384" s="5">
        <v>2383</v>
      </c>
      <c r="B2384" s="1" t="s">
        <v>11541</v>
      </c>
      <c r="C2384" s="6"/>
      <c r="E2384" s="1"/>
      <c r="F2384" s="1"/>
      <c r="G2384" s="1"/>
      <c r="J2384" s="1" t="s">
        <v>7559</v>
      </c>
      <c r="K2384" s="11" t="s">
        <v>12102</v>
      </c>
      <c r="P2384" s="7" t="s">
        <v>1241</v>
      </c>
      <c r="AV2384" s="1" t="s">
        <v>38</v>
      </c>
      <c r="BG2384" s="7" t="s">
        <v>1242</v>
      </c>
    </row>
    <row r="2385" spans="1:59" ht="270" x14ac:dyDescent="0.45">
      <c r="A2385" s="5">
        <v>2384</v>
      </c>
      <c r="B2385" s="1" t="s">
        <v>11542</v>
      </c>
      <c r="C2385" s="6"/>
      <c r="E2385" s="1"/>
      <c r="F2385" s="1"/>
      <c r="G2385" s="1"/>
      <c r="J2385" s="1" t="s">
        <v>7559</v>
      </c>
      <c r="K2385" s="11" t="s">
        <v>12103</v>
      </c>
      <c r="P2385" s="7" t="s">
        <v>1241</v>
      </c>
      <c r="AV2385" s="1" t="s">
        <v>38</v>
      </c>
      <c r="BG2385" s="7" t="s">
        <v>1242</v>
      </c>
    </row>
    <row r="2386" spans="1:59" ht="198" x14ac:dyDescent="0.45">
      <c r="A2386" s="5">
        <v>2385</v>
      </c>
      <c r="B2386" s="1" t="s">
        <v>11543</v>
      </c>
      <c r="C2386" s="6"/>
      <c r="E2386" s="1"/>
      <c r="F2386" s="1"/>
      <c r="G2386" s="1"/>
      <c r="J2386" s="1" t="s">
        <v>7559</v>
      </c>
      <c r="K2386" s="2" t="s">
        <v>10716</v>
      </c>
      <c r="P2386" s="7" t="s">
        <v>1241</v>
      </c>
      <c r="AV2386" s="1" t="s">
        <v>38</v>
      </c>
      <c r="BG2386" s="7" t="s">
        <v>1242</v>
      </c>
    </row>
    <row r="2387" spans="1:59" ht="270" x14ac:dyDescent="0.45">
      <c r="A2387" s="5">
        <v>2386</v>
      </c>
      <c r="B2387" s="1" t="s">
        <v>11544</v>
      </c>
      <c r="C2387" s="6"/>
      <c r="E2387" s="1"/>
      <c r="F2387" s="1"/>
      <c r="G2387" s="1"/>
      <c r="J2387" s="1" t="s">
        <v>7559</v>
      </c>
      <c r="K2387" s="2" t="s">
        <v>11677</v>
      </c>
      <c r="P2387" s="7" t="s">
        <v>1241</v>
      </c>
      <c r="AV2387" s="1" t="s">
        <v>38</v>
      </c>
      <c r="BG2387" s="7" t="s">
        <v>1242</v>
      </c>
    </row>
    <row r="2388" spans="1:59" ht="252" x14ac:dyDescent="0.45">
      <c r="A2388" s="5">
        <v>2387</v>
      </c>
      <c r="B2388" s="1" t="s">
        <v>11545</v>
      </c>
      <c r="C2388" s="6"/>
      <c r="E2388" s="1"/>
      <c r="F2388" s="1"/>
      <c r="G2388" s="1"/>
      <c r="J2388" s="1" t="s">
        <v>7559</v>
      </c>
      <c r="K2388" s="2" t="s">
        <v>10717</v>
      </c>
      <c r="P2388" s="7" t="s">
        <v>1241</v>
      </c>
      <c r="AV2388" s="1" t="s">
        <v>38</v>
      </c>
      <c r="BG2388" s="7" t="s">
        <v>1242</v>
      </c>
    </row>
    <row r="2389" spans="1:59" ht="198" x14ac:dyDescent="0.45">
      <c r="A2389" s="5">
        <v>2388</v>
      </c>
      <c r="B2389" s="1" t="s">
        <v>11546</v>
      </c>
      <c r="C2389" s="6"/>
      <c r="E2389" s="1"/>
      <c r="F2389" s="1"/>
      <c r="G2389" s="1"/>
      <c r="J2389" s="1" t="s">
        <v>7559</v>
      </c>
      <c r="K2389" s="11" t="s">
        <v>12104</v>
      </c>
      <c r="P2389" s="7" t="s">
        <v>1241</v>
      </c>
      <c r="AV2389" s="1" t="s">
        <v>38</v>
      </c>
      <c r="BG2389" s="7" t="s">
        <v>1242</v>
      </c>
    </row>
    <row r="2390" spans="1:59" ht="270" x14ac:dyDescent="0.45">
      <c r="A2390" s="5">
        <v>2389</v>
      </c>
      <c r="B2390" s="1" t="s">
        <v>11547</v>
      </c>
      <c r="C2390" s="6"/>
      <c r="E2390" s="1"/>
      <c r="F2390" s="1"/>
      <c r="G2390" s="1"/>
      <c r="J2390" s="1" t="s">
        <v>7559</v>
      </c>
      <c r="K2390" s="2" t="s">
        <v>10718</v>
      </c>
      <c r="P2390" s="7" t="s">
        <v>1241</v>
      </c>
      <c r="AV2390" s="1" t="s">
        <v>38</v>
      </c>
      <c r="BG2390" s="7" t="s">
        <v>1242</v>
      </c>
    </row>
    <row r="2391" spans="1:59" ht="306" x14ac:dyDescent="0.45">
      <c r="A2391" s="5">
        <v>2390</v>
      </c>
      <c r="B2391" s="1" t="s">
        <v>11548</v>
      </c>
      <c r="C2391" s="6"/>
      <c r="E2391" s="1"/>
      <c r="F2391" s="1"/>
      <c r="G2391" s="1"/>
      <c r="J2391" s="1" t="s">
        <v>7559</v>
      </c>
      <c r="K2391" s="2" t="s">
        <v>10719</v>
      </c>
      <c r="P2391" s="7" t="s">
        <v>1241</v>
      </c>
      <c r="AV2391" s="1" t="s">
        <v>38</v>
      </c>
      <c r="BG2391" s="7" t="s">
        <v>1242</v>
      </c>
    </row>
    <row r="2392" spans="1:59" ht="378" x14ac:dyDescent="0.45">
      <c r="A2392" s="5">
        <v>2391</v>
      </c>
      <c r="B2392" s="1" t="s">
        <v>11549</v>
      </c>
      <c r="C2392" s="6"/>
      <c r="E2392" s="1"/>
      <c r="F2392" s="1"/>
      <c r="G2392" s="1"/>
      <c r="J2392" s="1" t="s">
        <v>7559</v>
      </c>
      <c r="K2392" s="2" t="s">
        <v>10720</v>
      </c>
      <c r="P2392" s="7" t="s">
        <v>1241</v>
      </c>
      <c r="AV2392" s="1" t="s">
        <v>38</v>
      </c>
      <c r="BG2392" s="7" t="s">
        <v>1242</v>
      </c>
    </row>
    <row r="2393" spans="1:59" ht="144" x14ac:dyDescent="0.45">
      <c r="A2393" s="5">
        <v>2392</v>
      </c>
      <c r="B2393" s="1" t="s">
        <v>11550</v>
      </c>
      <c r="C2393" s="6"/>
      <c r="E2393" s="1"/>
      <c r="F2393" s="1"/>
      <c r="G2393" s="1"/>
      <c r="J2393" s="1" t="s">
        <v>7559</v>
      </c>
      <c r="K2393" s="2" t="s">
        <v>10721</v>
      </c>
      <c r="P2393" s="7" t="s">
        <v>1241</v>
      </c>
      <c r="AV2393" s="1" t="s">
        <v>38</v>
      </c>
      <c r="BG2393" s="7" t="s">
        <v>1242</v>
      </c>
    </row>
    <row r="2394" spans="1:59" ht="306" x14ac:dyDescent="0.45">
      <c r="A2394" s="5">
        <v>2393</v>
      </c>
      <c r="B2394" s="1" t="s">
        <v>11551</v>
      </c>
      <c r="C2394" s="6"/>
      <c r="E2394" s="1"/>
      <c r="F2394" s="1"/>
      <c r="G2394" s="1"/>
      <c r="J2394" s="1" t="s">
        <v>7559</v>
      </c>
      <c r="K2394" s="2" t="s">
        <v>11653</v>
      </c>
      <c r="P2394" s="7" t="s">
        <v>1241</v>
      </c>
      <c r="AV2394" s="1" t="s">
        <v>38</v>
      </c>
      <c r="BG2394" s="7" t="s">
        <v>1242</v>
      </c>
    </row>
    <row r="2395" spans="1:59" ht="180" x14ac:dyDescent="0.45">
      <c r="A2395" s="5">
        <v>2394</v>
      </c>
      <c r="B2395" s="1" t="s">
        <v>11552</v>
      </c>
      <c r="C2395" s="6"/>
      <c r="E2395" s="1"/>
      <c r="F2395" s="1"/>
      <c r="G2395" s="1"/>
      <c r="J2395" s="1" t="s">
        <v>7559</v>
      </c>
      <c r="K2395" s="2" t="s">
        <v>10722</v>
      </c>
      <c r="P2395" s="7" t="s">
        <v>1241</v>
      </c>
      <c r="AV2395" s="1" t="s">
        <v>38</v>
      </c>
      <c r="BG2395" s="7" t="s">
        <v>1242</v>
      </c>
    </row>
    <row r="2396" spans="1:59" ht="324" x14ac:dyDescent="0.45">
      <c r="A2396" s="5">
        <v>2395</v>
      </c>
      <c r="B2396" s="1" t="s">
        <v>11553</v>
      </c>
      <c r="C2396" s="6"/>
      <c r="E2396" s="1"/>
      <c r="F2396" s="1"/>
      <c r="G2396" s="1"/>
      <c r="J2396" s="1" t="s">
        <v>7559</v>
      </c>
      <c r="K2396" s="2" t="s">
        <v>10723</v>
      </c>
      <c r="P2396" s="7" t="s">
        <v>1241</v>
      </c>
      <c r="AV2396" s="1" t="s">
        <v>38</v>
      </c>
      <c r="BG2396" s="7" t="s">
        <v>1242</v>
      </c>
    </row>
    <row r="2397" spans="1:59" ht="288" x14ac:dyDescent="0.45">
      <c r="A2397" s="5">
        <v>2396</v>
      </c>
      <c r="B2397" s="1" t="s">
        <v>11554</v>
      </c>
      <c r="C2397" s="6"/>
      <c r="E2397" s="1"/>
      <c r="F2397" s="1"/>
      <c r="G2397" s="1"/>
      <c r="J2397" s="1" t="s">
        <v>7559</v>
      </c>
      <c r="K2397" s="2" t="s">
        <v>10724</v>
      </c>
      <c r="P2397" s="7" t="s">
        <v>1241</v>
      </c>
      <c r="AV2397" s="1" t="s">
        <v>38</v>
      </c>
      <c r="BG2397" s="7" t="s">
        <v>1242</v>
      </c>
    </row>
    <row r="2398" spans="1:59" ht="342" x14ac:dyDescent="0.45">
      <c r="A2398" s="5">
        <v>2397</v>
      </c>
      <c r="B2398" s="1" t="s">
        <v>11555</v>
      </c>
      <c r="C2398" s="6"/>
      <c r="E2398" s="1"/>
      <c r="F2398" s="1"/>
      <c r="G2398" s="1"/>
      <c r="J2398" s="1" t="s">
        <v>7559</v>
      </c>
      <c r="K2398" s="2" t="s">
        <v>10725</v>
      </c>
      <c r="P2398" s="7" t="s">
        <v>1241</v>
      </c>
      <c r="AV2398" s="1" t="s">
        <v>38</v>
      </c>
      <c r="BG2398" s="7" t="s">
        <v>1242</v>
      </c>
    </row>
    <row r="2399" spans="1:59" ht="360" x14ac:dyDescent="0.45">
      <c r="A2399" s="5">
        <v>2398</v>
      </c>
      <c r="B2399" s="1" t="s">
        <v>11556</v>
      </c>
      <c r="C2399" s="6"/>
      <c r="E2399" s="1"/>
      <c r="F2399" s="1"/>
      <c r="G2399" s="1"/>
      <c r="J2399" s="1" t="s">
        <v>7559</v>
      </c>
      <c r="K2399" s="2" t="s">
        <v>10726</v>
      </c>
      <c r="P2399" s="7" t="s">
        <v>1241</v>
      </c>
      <c r="AV2399" s="1" t="s">
        <v>38</v>
      </c>
      <c r="BG2399" s="7" t="s">
        <v>1242</v>
      </c>
    </row>
    <row r="2400" spans="1:59" ht="216" x14ac:dyDescent="0.45">
      <c r="A2400" s="5">
        <v>2399</v>
      </c>
      <c r="B2400" s="1" t="s">
        <v>11557</v>
      </c>
      <c r="C2400" s="6"/>
      <c r="E2400" s="1"/>
      <c r="F2400" s="1"/>
      <c r="G2400" s="1"/>
      <c r="J2400" s="1" t="s">
        <v>7559</v>
      </c>
      <c r="K2400" s="2" t="s">
        <v>10727</v>
      </c>
      <c r="P2400" s="7" t="s">
        <v>1241</v>
      </c>
      <c r="AV2400" s="1" t="s">
        <v>38</v>
      </c>
      <c r="BG2400" s="7" t="s">
        <v>1242</v>
      </c>
    </row>
    <row r="2401" spans="1:59" ht="306" x14ac:dyDescent="0.45">
      <c r="A2401" s="5">
        <v>2400</v>
      </c>
      <c r="B2401" s="1" t="s">
        <v>11558</v>
      </c>
      <c r="C2401" s="6"/>
      <c r="E2401" s="1"/>
      <c r="F2401" s="1"/>
      <c r="G2401" s="1"/>
      <c r="J2401" s="1" t="s">
        <v>7559</v>
      </c>
      <c r="K2401" s="11" t="s">
        <v>12105</v>
      </c>
      <c r="P2401" s="7" t="s">
        <v>1241</v>
      </c>
      <c r="AV2401" s="1" t="s">
        <v>38</v>
      </c>
      <c r="BG2401" s="7" t="s">
        <v>1242</v>
      </c>
    </row>
    <row r="2402" spans="1:59" ht="126" x14ac:dyDescent="0.45">
      <c r="A2402" s="5">
        <v>2401</v>
      </c>
      <c r="B2402" s="1" t="s">
        <v>11559</v>
      </c>
      <c r="C2402" s="6"/>
      <c r="E2402" s="1"/>
      <c r="F2402" s="1"/>
      <c r="G2402" s="1"/>
      <c r="J2402" s="1" t="s">
        <v>7559</v>
      </c>
      <c r="K2402" s="2" t="s">
        <v>10728</v>
      </c>
      <c r="P2402" s="7" t="s">
        <v>1241</v>
      </c>
      <c r="AV2402" s="1" t="s">
        <v>38</v>
      </c>
      <c r="BG2402" s="7" t="s">
        <v>1242</v>
      </c>
    </row>
    <row r="2403" spans="1:59" ht="126" x14ac:dyDescent="0.45">
      <c r="A2403" s="5">
        <v>2402</v>
      </c>
      <c r="B2403" s="1" t="s">
        <v>11560</v>
      </c>
      <c r="C2403" s="6"/>
      <c r="E2403" s="1"/>
      <c r="F2403" s="1"/>
      <c r="G2403" s="1"/>
      <c r="J2403" s="1" t="s">
        <v>7559</v>
      </c>
      <c r="K2403" s="2" t="s">
        <v>10729</v>
      </c>
      <c r="P2403" s="7" t="s">
        <v>1241</v>
      </c>
      <c r="AV2403" s="1" t="s">
        <v>38</v>
      </c>
      <c r="BG2403" s="7" t="s">
        <v>1242</v>
      </c>
    </row>
    <row r="2404" spans="1:59" ht="409.6" x14ac:dyDescent="0.45">
      <c r="A2404" s="5">
        <v>2403</v>
      </c>
      <c r="B2404" s="1" t="s">
        <v>11561</v>
      </c>
      <c r="C2404" s="6"/>
      <c r="E2404" s="1"/>
      <c r="F2404" s="1"/>
      <c r="G2404" s="1"/>
      <c r="J2404" s="1" t="s">
        <v>7559</v>
      </c>
      <c r="K2404" s="2" t="s">
        <v>10730</v>
      </c>
      <c r="P2404" s="7" t="s">
        <v>1241</v>
      </c>
      <c r="AV2404" s="1" t="s">
        <v>38</v>
      </c>
      <c r="BG2404" s="7" t="s">
        <v>1242</v>
      </c>
    </row>
    <row r="2405" spans="1:59" ht="108" x14ac:dyDescent="0.45">
      <c r="A2405" s="5">
        <v>2404</v>
      </c>
      <c r="B2405" s="1" t="s">
        <v>11562</v>
      </c>
      <c r="C2405" s="6"/>
      <c r="E2405" s="1"/>
      <c r="F2405" s="1"/>
      <c r="G2405" s="1"/>
      <c r="J2405" s="1" t="s">
        <v>7559</v>
      </c>
      <c r="K2405" s="2" t="s">
        <v>10731</v>
      </c>
      <c r="P2405" s="7" t="s">
        <v>1241</v>
      </c>
      <c r="AV2405" s="1" t="s">
        <v>38</v>
      </c>
      <c r="BG2405" s="7" t="s">
        <v>1242</v>
      </c>
    </row>
    <row r="2406" spans="1:59" ht="180" x14ac:dyDescent="0.45">
      <c r="A2406" s="5">
        <v>2405</v>
      </c>
      <c r="B2406" s="1" t="s">
        <v>11563</v>
      </c>
      <c r="C2406" s="6"/>
      <c r="E2406" s="1"/>
      <c r="F2406" s="1"/>
      <c r="G2406" s="1"/>
      <c r="J2406" s="1" t="s">
        <v>7559</v>
      </c>
      <c r="K2406" s="2" t="s">
        <v>10732</v>
      </c>
      <c r="P2406" s="7" t="s">
        <v>1241</v>
      </c>
      <c r="AV2406" s="1" t="s">
        <v>38</v>
      </c>
      <c r="BG2406" s="7" t="s">
        <v>1242</v>
      </c>
    </row>
    <row r="2407" spans="1:59" ht="270" x14ac:dyDescent="0.45">
      <c r="A2407" s="5">
        <v>2406</v>
      </c>
      <c r="B2407" s="1" t="s">
        <v>11564</v>
      </c>
      <c r="C2407" s="6"/>
      <c r="E2407" s="1"/>
      <c r="F2407" s="1"/>
      <c r="G2407" s="1"/>
      <c r="J2407" s="1" t="s">
        <v>7559</v>
      </c>
      <c r="K2407" s="2" t="s">
        <v>10733</v>
      </c>
      <c r="P2407" s="7" t="s">
        <v>1241</v>
      </c>
      <c r="AV2407" s="1" t="s">
        <v>38</v>
      </c>
      <c r="BG2407" s="7" t="s">
        <v>1242</v>
      </c>
    </row>
    <row r="2408" spans="1:59" ht="252" x14ac:dyDescent="0.45">
      <c r="A2408" s="5">
        <v>2407</v>
      </c>
      <c r="B2408" s="1" t="s">
        <v>11565</v>
      </c>
      <c r="C2408" s="6"/>
      <c r="E2408" s="1"/>
      <c r="F2408" s="1"/>
      <c r="G2408" s="1"/>
      <c r="J2408" s="1" t="s">
        <v>7559</v>
      </c>
      <c r="K2408" s="11" t="s">
        <v>12106</v>
      </c>
      <c r="P2408" s="7" t="s">
        <v>1241</v>
      </c>
      <c r="AV2408" s="1" t="s">
        <v>38</v>
      </c>
      <c r="BG2408" s="7" t="s">
        <v>1242</v>
      </c>
    </row>
    <row r="2409" spans="1:59" ht="180" x14ac:dyDescent="0.45">
      <c r="A2409" s="5">
        <v>2408</v>
      </c>
      <c r="B2409" s="1" t="s">
        <v>11566</v>
      </c>
      <c r="C2409" s="6"/>
      <c r="E2409" s="1"/>
      <c r="F2409" s="1"/>
      <c r="G2409" s="1"/>
      <c r="J2409" s="1" t="s">
        <v>7559</v>
      </c>
      <c r="K2409" s="11" t="s">
        <v>12107</v>
      </c>
      <c r="P2409" s="7" t="s">
        <v>1241</v>
      </c>
      <c r="AV2409" s="1" t="s">
        <v>38</v>
      </c>
      <c r="BG2409" s="7" t="s">
        <v>1242</v>
      </c>
    </row>
    <row r="2410" spans="1:59" ht="216" x14ac:dyDescent="0.45">
      <c r="A2410" s="5">
        <v>2409</v>
      </c>
      <c r="B2410" s="1" t="s">
        <v>11567</v>
      </c>
      <c r="C2410" s="6"/>
      <c r="E2410" s="1"/>
      <c r="F2410" s="1"/>
      <c r="G2410" s="1"/>
      <c r="J2410" s="1" t="s">
        <v>7559</v>
      </c>
      <c r="K2410" s="11" t="s">
        <v>12108</v>
      </c>
      <c r="P2410" s="7" t="s">
        <v>1241</v>
      </c>
      <c r="AV2410" s="1" t="s">
        <v>38</v>
      </c>
      <c r="BG2410" s="7" t="s">
        <v>1242</v>
      </c>
    </row>
    <row r="2411" spans="1:59" ht="108" x14ac:dyDescent="0.45">
      <c r="A2411" s="5">
        <v>2410</v>
      </c>
      <c r="B2411" s="1" t="s">
        <v>11568</v>
      </c>
      <c r="C2411" s="6"/>
      <c r="E2411" s="1"/>
      <c r="F2411" s="1"/>
      <c r="G2411" s="1"/>
      <c r="J2411" s="1" t="s">
        <v>7559</v>
      </c>
      <c r="K2411" s="2" t="s">
        <v>10734</v>
      </c>
      <c r="P2411" s="7" t="s">
        <v>1241</v>
      </c>
      <c r="AV2411" s="1" t="s">
        <v>38</v>
      </c>
      <c r="BG2411" s="7" t="s">
        <v>1242</v>
      </c>
    </row>
    <row r="2412" spans="1:59" ht="409.6" x14ac:dyDescent="0.45">
      <c r="A2412" s="5">
        <v>2411</v>
      </c>
      <c r="B2412" s="1" t="s">
        <v>11569</v>
      </c>
      <c r="C2412" s="6"/>
      <c r="E2412" s="1"/>
      <c r="F2412" s="1"/>
      <c r="G2412" s="1"/>
      <c r="J2412" s="1" t="s">
        <v>7559</v>
      </c>
      <c r="K2412" s="2" t="s">
        <v>10735</v>
      </c>
      <c r="P2412" s="7" t="s">
        <v>1241</v>
      </c>
      <c r="AV2412" s="1" t="s">
        <v>38</v>
      </c>
      <c r="BG2412" s="7" t="s">
        <v>1242</v>
      </c>
    </row>
    <row r="2413" spans="1:59" ht="234" x14ac:dyDescent="0.45">
      <c r="A2413" s="5">
        <v>2412</v>
      </c>
      <c r="B2413" s="1" t="s">
        <v>11570</v>
      </c>
      <c r="C2413" s="6"/>
      <c r="E2413" s="1"/>
      <c r="F2413" s="1"/>
      <c r="G2413" s="1"/>
      <c r="J2413" s="1" t="s">
        <v>7559</v>
      </c>
      <c r="K2413" s="2" t="s">
        <v>10736</v>
      </c>
      <c r="P2413" s="7" t="s">
        <v>1241</v>
      </c>
      <c r="AV2413" s="1" t="s">
        <v>38</v>
      </c>
      <c r="BG2413" s="7" t="s">
        <v>1242</v>
      </c>
    </row>
    <row r="2414" spans="1:59" ht="90" x14ac:dyDescent="0.45">
      <c r="A2414" s="5">
        <v>2413</v>
      </c>
      <c r="B2414" s="1" t="s">
        <v>11571</v>
      </c>
      <c r="C2414" s="6"/>
      <c r="E2414" s="1"/>
      <c r="F2414" s="1"/>
      <c r="G2414" s="1"/>
      <c r="J2414" s="1" t="s">
        <v>7559</v>
      </c>
      <c r="K2414" s="2" t="s">
        <v>10737</v>
      </c>
      <c r="P2414" s="7" t="s">
        <v>1241</v>
      </c>
      <c r="AV2414" s="1" t="s">
        <v>38</v>
      </c>
      <c r="BG2414" s="7" t="s">
        <v>1242</v>
      </c>
    </row>
    <row r="2415" spans="1:59" ht="342" x14ac:dyDescent="0.45">
      <c r="A2415" s="5">
        <v>2414</v>
      </c>
      <c r="B2415" s="1" t="s">
        <v>11572</v>
      </c>
      <c r="C2415" s="6"/>
      <c r="E2415" s="1"/>
      <c r="F2415" s="1"/>
      <c r="G2415" s="1"/>
      <c r="J2415" s="1" t="s">
        <v>7559</v>
      </c>
      <c r="K2415" s="11" t="s">
        <v>12109</v>
      </c>
      <c r="P2415" s="7" t="s">
        <v>1241</v>
      </c>
      <c r="AV2415" s="1" t="s">
        <v>38</v>
      </c>
      <c r="BG2415" s="7" t="s">
        <v>1242</v>
      </c>
    </row>
    <row r="2416" spans="1:59" ht="126" x14ac:dyDescent="0.45">
      <c r="A2416" s="5">
        <v>2415</v>
      </c>
      <c r="B2416" s="1" t="s">
        <v>11573</v>
      </c>
      <c r="C2416" s="6"/>
      <c r="E2416" s="1"/>
      <c r="F2416" s="1"/>
      <c r="G2416" s="1"/>
      <c r="J2416" s="1" t="s">
        <v>7559</v>
      </c>
      <c r="K2416" s="2" t="s">
        <v>10738</v>
      </c>
      <c r="P2416" s="7" t="s">
        <v>1241</v>
      </c>
      <c r="AV2416" s="1" t="s">
        <v>38</v>
      </c>
      <c r="BG2416" s="7" t="s">
        <v>1242</v>
      </c>
    </row>
    <row r="2417" spans="1:59" ht="180" x14ac:dyDescent="0.45">
      <c r="A2417" s="5">
        <v>2416</v>
      </c>
      <c r="B2417" s="1" t="s">
        <v>11574</v>
      </c>
      <c r="C2417" s="6"/>
      <c r="E2417" s="1"/>
      <c r="F2417" s="1"/>
      <c r="G2417" s="1"/>
      <c r="J2417" s="1" t="s">
        <v>7559</v>
      </c>
      <c r="K2417" s="2" t="s">
        <v>10739</v>
      </c>
      <c r="P2417" s="7" t="s">
        <v>1241</v>
      </c>
      <c r="AV2417" s="1" t="s">
        <v>38</v>
      </c>
      <c r="BG2417" s="7" t="s">
        <v>1242</v>
      </c>
    </row>
    <row r="2418" spans="1:59" ht="270" x14ac:dyDescent="0.45">
      <c r="A2418" s="5">
        <v>2417</v>
      </c>
      <c r="B2418" s="1" t="s">
        <v>11575</v>
      </c>
      <c r="C2418" s="6"/>
      <c r="E2418" s="1"/>
      <c r="F2418" s="1"/>
      <c r="G2418" s="1"/>
      <c r="J2418" s="1" t="s">
        <v>7559</v>
      </c>
      <c r="K2418" s="11" t="s">
        <v>12110</v>
      </c>
      <c r="P2418" s="7" t="s">
        <v>1241</v>
      </c>
      <c r="AV2418" s="1" t="s">
        <v>38</v>
      </c>
      <c r="BG2418" s="7" t="s">
        <v>1242</v>
      </c>
    </row>
    <row r="2419" spans="1:59" ht="252" x14ac:dyDescent="0.45">
      <c r="A2419" s="5">
        <v>2418</v>
      </c>
      <c r="B2419" s="1" t="s">
        <v>11576</v>
      </c>
      <c r="C2419" s="6"/>
      <c r="E2419" s="1"/>
      <c r="F2419" s="1"/>
      <c r="G2419" s="1"/>
      <c r="J2419" s="1" t="s">
        <v>7559</v>
      </c>
      <c r="K2419" s="11" t="s">
        <v>12111</v>
      </c>
      <c r="P2419" s="7" t="s">
        <v>1241</v>
      </c>
      <c r="AV2419" s="1" t="s">
        <v>38</v>
      </c>
      <c r="BG2419" s="7" t="s">
        <v>1242</v>
      </c>
    </row>
    <row r="2420" spans="1:59" ht="288" x14ac:dyDescent="0.45">
      <c r="A2420" s="5">
        <v>2419</v>
      </c>
      <c r="B2420" s="1" t="s">
        <v>11577</v>
      </c>
      <c r="C2420" s="6"/>
      <c r="E2420" s="1"/>
      <c r="F2420" s="1"/>
      <c r="G2420" s="1"/>
      <c r="J2420" s="1" t="s">
        <v>7559</v>
      </c>
      <c r="K2420" s="2" t="s">
        <v>10740</v>
      </c>
      <c r="P2420" s="7" t="s">
        <v>1241</v>
      </c>
      <c r="AV2420" s="1" t="s">
        <v>38</v>
      </c>
      <c r="BG2420" s="7" t="s">
        <v>1242</v>
      </c>
    </row>
    <row r="2421" spans="1:59" ht="126" x14ac:dyDescent="0.45">
      <c r="A2421" s="5">
        <v>2420</v>
      </c>
      <c r="B2421" s="1" t="s">
        <v>11578</v>
      </c>
      <c r="C2421" s="6"/>
      <c r="E2421" s="1"/>
      <c r="F2421" s="1"/>
      <c r="G2421" s="1"/>
      <c r="J2421" s="1" t="s">
        <v>7559</v>
      </c>
      <c r="K2421" s="2" t="s">
        <v>10741</v>
      </c>
      <c r="P2421" s="7" t="s">
        <v>1241</v>
      </c>
      <c r="AV2421" s="1" t="s">
        <v>38</v>
      </c>
      <c r="BG2421" s="7" t="s">
        <v>1242</v>
      </c>
    </row>
    <row r="2422" spans="1:59" ht="126" x14ac:dyDescent="0.45">
      <c r="A2422" s="5">
        <v>2421</v>
      </c>
      <c r="B2422" s="1" t="s">
        <v>11579</v>
      </c>
      <c r="C2422" s="6"/>
      <c r="E2422" s="1"/>
      <c r="F2422" s="1"/>
      <c r="G2422" s="1"/>
      <c r="J2422" s="1" t="s">
        <v>7559</v>
      </c>
      <c r="K2422" s="2" t="s">
        <v>10742</v>
      </c>
      <c r="P2422" s="7" t="s">
        <v>1241</v>
      </c>
      <c r="AV2422" s="1" t="s">
        <v>38</v>
      </c>
      <c r="BG2422" s="7" t="s">
        <v>1242</v>
      </c>
    </row>
    <row r="2423" spans="1:59" ht="144" x14ac:dyDescent="0.45">
      <c r="A2423" s="5">
        <v>2422</v>
      </c>
      <c r="B2423" s="1" t="s">
        <v>11580</v>
      </c>
      <c r="C2423" s="6"/>
      <c r="E2423" s="1"/>
      <c r="F2423" s="1"/>
      <c r="G2423" s="1"/>
      <c r="J2423" s="1" t="s">
        <v>7559</v>
      </c>
      <c r="K2423" s="2" t="s">
        <v>10743</v>
      </c>
      <c r="P2423" s="7" t="s">
        <v>1241</v>
      </c>
      <c r="AV2423" s="1" t="s">
        <v>38</v>
      </c>
      <c r="BG2423" s="7" t="s">
        <v>1242</v>
      </c>
    </row>
    <row r="2424" spans="1:59" ht="234" x14ac:dyDescent="0.45">
      <c r="A2424" s="5">
        <v>2423</v>
      </c>
      <c r="B2424" s="1" t="s">
        <v>11581</v>
      </c>
      <c r="C2424" s="6"/>
      <c r="E2424" s="1"/>
      <c r="F2424" s="1"/>
      <c r="G2424" s="1"/>
      <c r="J2424" s="1" t="s">
        <v>7559</v>
      </c>
      <c r="K2424" s="2" t="s">
        <v>10744</v>
      </c>
      <c r="P2424" s="7" t="s">
        <v>1241</v>
      </c>
      <c r="AV2424" s="1" t="s">
        <v>38</v>
      </c>
      <c r="BG2424" s="7" t="s">
        <v>1242</v>
      </c>
    </row>
    <row r="2425" spans="1:59" ht="180" x14ac:dyDescent="0.45">
      <c r="A2425" s="5">
        <v>2424</v>
      </c>
      <c r="B2425" s="1" t="s">
        <v>11582</v>
      </c>
      <c r="C2425" s="6"/>
      <c r="E2425" s="1"/>
      <c r="F2425" s="1"/>
      <c r="G2425" s="1"/>
      <c r="J2425" s="1" t="s">
        <v>7559</v>
      </c>
      <c r="K2425" s="2" t="s">
        <v>10745</v>
      </c>
      <c r="P2425" s="7" t="s">
        <v>1241</v>
      </c>
      <c r="AV2425" s="1" t="s">
        <v>38</v>
      </c>
      <c r="BG2425" s="7" t="s">
        <v>1242</v>
      </c>
    </row>
    <row r="2426" spans="1:59" ht="324" x14ac:dyDescent="0.45">
      <c r="A2426" s="5">
        <v>2425</v>
      </c>
      <c r="B2426" s="1" t="s">
        <v>11583</v>
      </c>
      <c r="C2426" s="6"/>
      <c r="E2426" s="1"/>
      <c r="F2426" s="1"/>
      <c r="G2426" s="1"/>
      <c r="J2426" s="1" t="s">
        <v>7559</v>
      </c>
      <c r="K2426" s="2" t="s">
        <v>11657</v>
      </c>
      <c r="P2426" s="7" t="s">
        <v>1241</v>
      </c>
      <c r="AV2426" s="1" t="s">
        <v>38</v>
      </c>
      <c r="BG2426" s="7" t="s">
        <v>1242</v>
      </c>
    </row>
    <row r="2427" spans="1:59" ht="252" x14ac:dyDescent="0.45">
      <c r="A2427" s="5">
        <v>2426</v>
      </c>
      <c r="B2427" s="1" t="s">
        <v>11584</v>
      </c>
      <c r="C2427" s="6"/>
      <c r="E2427" s="1"/>
      <c r="F2427" s="1"/>
      <c r="G2427" s="1"/>
      <c r="J2427" s="1" t="s">
        <v>7559</v>
      </c>
      <c r="K2427" s="2" t="s">
        <v>11658</v>
      </c>
      <c r="P2427" s="7" t="s">
        <v>1241</v>
      </c>
      <c r="AV2427" s="1" t="s">
        <v>38</v>
      </c>
      <c r="BG2427" s="7" t="s">
        <v>1242</v>
      </c>
    </row>
    <row r="2428" spans="1:59" ht="396" x14ac:dyDescent="0.45">
      <c r="A2428" s="5">
        <v>2427</v>
      </c>
      <c r="B2428" s="1" t="s">
        <v>11585</v>
      </c>
      <c r="C2428" s="6"/>
      <c r="E2428" s="1"/>
      <c r="F2428" s="1"/>
      <c r="G2428" s="1"/>
      <c r="J2428" s="1" t="s">
        <v>7559</v>
      </c>
      <c r="K2428" s="2" t="s">
        <v>11659</v>
      </c>
      <c r="P2428" s="7" t="s">
        <v>1241</v>
      </c>
      <c r="AV2428" s="1" t="s">
        <v>38</v>
      </c>
      <c r="BG2428" s="7" t="s">
        <v>1242</v>
      </c>
    </row>
    <row r="2429" spans="1:59" ht="216" x14ac:dyDescent="0.45">
      <c r="A2429" s="5">
        <v>2428</v>
      </c>
      <c r="B2429" s="1" t="s">
        <v>11586</v>
      </c>
      <c r="C2429" s="6"/>
      <c r="E2429" s="1"/>
      <c r="F2429" s="1"/>
      <c r="G2429" s="1"/>
      <c r="J2429" s="1" t="s">
        <v>7559</v>
      </c>
      <c r="K2429" s="2" t="s">
        <v>11660</v>
      </c>
      <c r="P2429" s="7" t="s">
        <v>1241</v>
      </c>
      <c r="AV2429" s="1" t="s">
        <v>38</v>
      </c>
      <c r="BG2429" s="7" t="s">
        <v>1242</v>
      </c>
    </row>
    <row r="2430" spans="1:59" ht="409.6" x14ac:dyDescent="0.45">
      <c r="A2430" s="5">
        <v>2429</v>
      </c>
      <c r="B2430" s="1" t="s">
        <v>11587</v>
      </c>
      <c r="C2430" s="6"/>
      <c r="E2430" s="1"/>
      <c r="F2430" s="1"/>
      <c r="G2430" s="1"/>
      <c r="J2430" s="1" t="s">
        <v>7559</v>
      </c>
      <c r="K2430" s="11" t="s">
        <v>12112</v>
      </c>
      <c r="P2430" s="7" t="s">
        <v>1241</v>
      </c>
      <c r="AV2430" s="1" t="s">
        <v>38</v>
      </c>
      <c r="BG2430" s="7" t="s">
        <v>1242</v>
      </c>
    </row>
    <row r="2431" spans="1:59" ht="396" x14ac:dyDescent="0.45">
      <c r="A2431" s="5">
        <v>2430</v>
      </c>
      <c r="B2431" s="1" t="s">
        <v>11588</v>
      </c>
      <c r="C2431" s="6"/>
      <c r="E2431" s="1"/>
      <c r="F2431" s="1"/>
      <c r="G2431" s="1"/>
      <c r="J2431" s="1" t="s">
        <v>7559</v>
      </c>
      <c r="K2431" s="2" t="s">
        <v>11661</v>
      </c>
      <c r="P2431" s="7" t="s">
        <v>1241</v>
      </c>
      <c r="AV2431" s="1" t="s">
        <v>38</v>
      </c>
      <c r="BG2431" s="7" t="s">
        <v>1242</v>
      </c>
    </row>
    <row r="2432" spans="1:59" ht="360" x14ac:dyDescent="0.45">
      <c r="A2432" s="5">
        <v>2431</v>
      </c>
      <c r="B2432" s="1" t="s">
        <v>11662</v>
      </c>
      <c r="C2432" s="6"/>
      <c r="E2432" s="1"/>
      <c r="F2432" s="1"/>
      <c r="G2432" s="1"/>
      <c r="J2432" s="1" t="s">
        <v>7559</v>
      </c>
      <c r="K2432" s="11" t="s">
        <v>12113</v>
      </c>
      <c r="P2432" s="7" t="s">
        <v>1241</v>
      </c>
      <c r="AV2432" s="1" t="s">
        <v>38</v>
      </c>
      <c r="BG2432" s="7" t="s">
        <v>1242</v>
      </c>
    </row>
    <row r="2433" spans="1:59" ht="396" x14ac:dyDescent="0.45">
      <c r="A2433" s="5">
        <v>2432</v>
      </c>
      <c r="B2433" s="1" t="s">
        <v>11589</v>
      </c>
      <c r="C2433" s="6"/>
      <c r="E2433" s="1"/>
      <c r="F2433" s="1"/>
      <c r="G2433" s="1"/>
      <c r="J2433" s="1" t="s">
        <v>7559</v>
      </c>
      <c r="K2433" s="2" t="s">
        <v>11663</v>
      </c>
      <c r="P2433" s="7" t="s">
        <v>1241</v>
      </c>
      <c r="AV2433" s="1" t="s">
        <v>38</v>
      </c>
      <c r="BG2433" s="7" t="s">
        <v>1242</v>
      </c>
    </row>
    <row r="2434" spans="1:59" ht="216" x14ac:dyDescent="0.45">
      <c r="A2434" s="5">
        <v>2433</v>
      </c>
      <c r="B2434" s="1" t="s">
        <v>11590</v>
      </c>
      <c r="C2434" s="6"/>
      <c r="E2434" s="1"/>
      <c r="F2434" s="1"/>
      <c r="G2434" s="1"/>
      <c r="J2434" s="1" t="s">
        <v>7559</v>
      </c>
      <c r="K2434" s="2" t="s">
        <v>12283</v>
      </c>
      <c r="P2434" s="7" t="s">
        <v>1241</v>
      </c>
      <c r="AV2434" s="1" t="s">
        <v>38</v>
      </c>
      <c r="BG2434" s="7" t="s">
        <v>1242</v>
      </c>
    </row>
    <row r="2435" spans="1:59" ht="162" x14ac:dyDescent="0.45">
      <c r="A2435" s="5">
        <v>2434</v>
      </c>
      <c r="B2435" s="1" t="s">
        <v>11591</v>
      </c>
      <c r="C2435" s="6"/>
      <c r="E2435" s="1"/>
      <c r="F2435" s="1"/>
      <c r="G2435" s="1"/>
      <c r="J2435" s="1" t="s">
        <v>7559</v>
      </c>
      <c r="K2435" s="2" t="s">
        <v>11664</v>
      </c>
      <c r="P2435" s="7" t="s">
        <v>1241</v>
      </c>
      <c r="AV2435" s="1" t="s">
        <v>38</v>
      </c>
      <c r="BG2435" s="7" t="s">
        <v>1242</v>
      </c>
    </row>
    <row r="2436" spans="1:59" ht="198" x14ac:dyDescent="0.45">
      <c r="A2436" s="5">
        <v>2435</v>
      </c>
      <c r="B2436" s="1" t="s">
        <v>11592</v>
      </c>
      <c r="C2436" s="6"/>
      <c r="E2436" s="1"/>
      <c r="F2436" s="1"/>
      <c r="G2436" s="1"/>
      <c r="J2436" s="1" t="s">
        <v>7559</v>
      </c>
      <c r="K2436" s="2" t="s">
        <v>11678</v>
      </c>
      <c r="P2436" s="7" t="s">
        <v>1241</v>
      </c>
      <c r="AV2436" s="1" t="s">
        <v>38</v>
      </c>
      <c r="BG2436" s="7" t="s">
        <v>1242</v>
      </c>
    </row>
    <row r="2437" spans="1:59" ht="360" x14ac:dyDescent="0.45">
      <c r="A2437" s="5">
        <v>2436</v>
      </c>
      <c r="B2437" s="1" t="s">
        <v>11665</v>
      </c>
      <c r="C2437" s="6"/>
      <c r="E2437" s="1"/>
      <c r="F2437" s="1"/>
      <c r="G2437" s="1"/>
      <c r="J2437" s="1" t="s">
        <v>7559</v>
      </c>
      <c r="K2437" s="2" t="s">
        <v>11679</v>
      </c>
      <c r="P2437" s="7" t="s">
        <v>1241</v>
      </c>
      <c r="AV2437" s="1" t="s">
        <v>38</v>
      </c>
      <c r="BG2437" s="7" t="s">
        <v>1242</v>
      </c>
    </row>
    <row r="2438" spans="1:59" ht="144" x14ac:dyDescent="0.45">
      <c r="A2438" s="5">
        <v>2437</v>
      </c>
      <c r="B2438" s="1" t="s">
        <v>11593</v>
      </c>
      <c r="C2438" s="6"/>
      <c r="E2438" s="1"/>
      <c r="F2438" s="1"/>
      <c r="G2438" s="1"/>
      <c r="J2438" s="1" t="s">
        <v>7559</v>
      </c>
      <c r="K2438" s="2" t="s">
        <v>11666</v>
      </c>
      <c r="P2438" s="7" t="s">
        <v>1241</v>
      </c>
      <c r="AV2438" s="1" t="s">
        <v>38</v>
      </c>
      <c r="BG2438" s="7" t="s">
        <v>1242</v>
      </c>
    </row>
    <row r="2439" spans="1:59" ht="216" x14ac:dyDescent="0.45">
      <c r="A2439" s="5">
        <v>2438</v>
      </c>
      <c r="B2439" s="1" t="s">
        <v>11594</v>
      </c>
      <c r="C2439" s="6"/>
      <c r="E2439" s="1"/>
      <c r="F2439" s="1"/>
      <c r="G2439" s="1"/>
      <c r="J2439" s="1" t="s">
        <v>7559</v>
      </c>
      <c r="K2439" s="11" t="s">
        <v>12114</v>
      </c>
      <c r="P2439" s="7" t="s">
        <v>1241</v>
      </c>
      <c r="AV2439" s="1" t="s">
        <v>38</v>
      </c>
      <c r="BG2439" s="7" t="s">
        <v>1242</v>
      </c>
    </row>
    <row r="2440" spans="1:59" ht="409.6" x14ac:dyDescent="0.45">
      <c r="A2440" s="5">
        <v>2439</v>
      </c>
      <c r="B2440" s="1" t="s">
        <v>11595</v>
      </c>
      <c r="C2440" s="6"/>
      <c r="E2440" s="1"/>
      <c r="F2440" s="1"/>
      <c r="G2440" s="1"/>
      <c r="J2440" s="1" t="s">
        <v>7559</v>
      </c>
      <c r="K2440" s="11" t="s">
        <v>12115</v>
      </c>
      <c r="P2440" s="7" t="s">
        <v>1241</v>
      </c>
      <c r="AV2440" s="1" t="s">
        <v>38</v>
      </c>
      <c r="BG2440" s="7" t="s">
        <v>1242</v>
      </c>
    </row>
    <row r="2441" spans="1:59" ht="198" x14ac:dyDescent="0.45">
      <c r="A2441" s="5">
        <v>2440</v>
      </c>
      <c r="B2441" s="1" t="s">
        <v>11596</v>
      </c>
      <c r="C2441" s="6"/>
      <c r="E2441" s="1"/>
      <c r="F2441" s="1"/>
      <c r="G2441" s="1"/>
      <c r="J2441" s="1" t="s">
        <v>7559</v>
      </c>
      <c r="K2441" s="2" t="s">
        <v>11667</v>
      </c>
      <c r="P2441" s="7" t="s">
        <v>1241</v>
      </c>
      <c r="AV2441" s="1" t="s">
        <v>38</v>
      </c>
      <c r="BG2441" s="7" t="s">
        <v>1242</v>
      </c>
    </row>
    <row r="2442" spans="1:59" ht="162" x14ac:dyDescent="0.45">
      <c r="A2442" s="5">
        <v>2441</v>
      </c>
      <c r="B2442" s="1" t="s">
        <v>11597</v>
      </c>
      <c r="C2442" s="6"/>
      <c r="E2442" s="1"/>
      <c r="F2442" s="1"/>
      <c r="G2442" s="1"/>
      <c r="J2442" s="1" t="s">
        <v>7559</v>
      </c>
      <c r="K2442" s="2" t="s">
        <v>11680</v>
      </c>
      <c r="P2442" s="7" t="s">
        <v>1241</v>
      </c>
      <c r="AV2442" s="1" t="s">
        <v>38</v>
      </c>
      <c r="BG2442" s="7" t="s">
        <v>1242</v>
      </c>
    </row>
    <row r="2443" spans="1:59" ht="198" x14ac:dyDescent="0.45">
      <c r="A2443" s="5">
        <v>2442</v>
      </c>
      <c r="B2443" s="1" t="s">
        <v>11598</v>
      </c>
      <c r="C2443" s="6"/>
      <c r="E2443" s="1"/>
      <c r="F2443" s="1"/>
      <c r="G2443" s="1"/>
      <c r="J2443" s="1" t="s">
        <v>7559</v>
      </c>
      <c r="K2443" s="2" t="s">
        <v>11668</v>
      </c>
      <c r="P2443" s="7" t="s">
        <v>1241</v>
      </c>
      <c r="AV2443" s="1" t="s">
        <v>38</v>
      </c>
      <c r="BG2443" s="7" t="s">
        <v>1242</v>
      </c>
    </row>
    <row r="2444" spans="1:59" ht="378" x14ac:dyDescent="0.45">
      <c r="A2444" s="5">
        <v>2443</v>
      </c>
      <c r="B2444" s="1" t="s">
        <v>11599</v>
      </c>
      <c r="C2444" s="6"/>
      <c r="E2444" s="1"/>
      <c r="F2444" s="1"/>
      <c r="G2444" s="1"/>
      <c r="J2444" s="1" t="s">
        <v>7559</v>
      </c>
      <c r="K2444" s="2" t="s">
        <v>11681</v>
      </c>
      <c r="P2444" s="7" t="s">
        <v>1241</v>
      </c>
      <c r="AV2444" s="1" t="s">
        <v>38</v>
      </c>
      <c r="BG2444" s="7" t="s">
        <v>1242</v>
      </c>
    </row>
    <row r="2445" spans="1:59" ht="324" x14ac:dyDescent="0.45">
      <c r="A2445" s="5">
        <v>2444</v>
      </c>
      <c r="B2445" s="1" t="s">
        <v>11600</v>
      </c>
      <c r="C2445" s="6"/>
      <c r="E2445" s="1"/>
      <c r="F2445" s="1"/>
      <c r="G2445" s="1"/>
      <c r="J2445" s="1" t="s">
        <v>7559</v>
      </c>
      <c r="K2445" s="11" t="s">
        <v>12116</v>
      </c>
      <c r="P2445" s="7" t="s">
        <v>1241</v>
      </c>
      <c r="AV2445" s="1" t="s">
        <v>38</v>
      </c>
      <c r="BG2445" s="7" t="s">
        <v>1242</v>
      </c>
    </row>
    <row r="2446" spans="1:59" ht="342" x14ac:dyDescent="0.45">
      <c r="A2446" s="5">
        <v>2445</v>
      </c>
      <c r="B2446" s="1" t="s">
        <v>11601</v>
      </c>
      <c r="C2446" s="6"/>
      <c r="E2446" s="1"/>
      <c r="F2446" s="1"/>
      <c r="G2446" s="1"/>
      <c r="J2446" s="1" t="s">
        <v>7559</v>
      </c>
      <c r="K2446" s="11" t="s">
        <v>12117</v>
      </c>
      <c r="P2446" s="7" t="s">
        <v>1241</v>
      </c>
      <c r="AV2446" s="1" t="s">
        <v>38</v>
      </c>
      <c r="BG2446" s="7" t="s">
        <v>1242</v>
      </c>
    </row>
    <row r="2447" spans="1:59" ht="72" x14ac:dyDescent="0.45">
      <c r="A2447" s="5">
        <v>2446</v>
      </c>
      <c r="B2447" s="1" t="s">
        <v>11602</v>
      </c>
      <c r="C2447" s="6"/>
      <c r="E2447" s="1"/>
      <c r="F2447" s="1"/>
      <c r="G2447" s="1"/>
      <c r="J2447" s="1" t="s">
        <v>7559</v>
      </c>
      <c r="K2447" s="2" t="s">
        <v>11682</v>
      </c>
      <c r="P2447" s="7" t="s">
        <v>1241</v>
      </c>
      <c r="AV2447" s="1" t="s">
        <v>38</v>
      </c>
      <c r="BG2447" s="7" t="s">
        <v>1242</v>
      </c>
    </row>
    <row r="2448" spans="1:59" ht="409.6" x14ac:dyDescent="0.45">
      <c r="A2448" s="5">
        <v>2447</v>
      </c>
      <c r="B2448" s="1" t="s">
        <v>11603</v>
      </c>
      <c r="C2448" s="6"/>
      <c r="E2448" s="1"/>
      <c r="F2448" s="1"/>
      <c r="G2448" s="1"/>
      <c r="J2448" s="1" t="s">
        <v>7559</v>
      </c>
      <c r="K2448" s="2" t="s">
        <v>11683</v>
      </c>
      <c r="P2448" s="7" t="s">
        <v>1241</v>
      </c>
      <c r="AV2448" s="1" t="s">
        <v>38</v>
      </c>
      <c r="BG2448" s="7" t="s">
        <v>1242</v>
      </c>
    </row>
    <row r="2449" spans="1:59" ht="162" x14ac:dyDescent="0.45">
      <c r="A2449" s="5">
        <v>2448</v>
      </c>
      <c r="B2449" s="1" t="s">
        <v>11604</v>
      </c>
      <c r="C2449" s="6"/>
      <c r="E2449" s="1"/>
      <c r="F2449" s="1"/>
      <c r="G2449" s="1"/>
      <c r="J2449" s="1" t="s">
        <v>7559</v>
      </c>
      <c r="K2449" s="2" t="s">
        <v>11684</v>
      </c>
      <c r="P2449" s="7" t="s">
        <v>1241</v>
      </c>
      <c r="AV2449" s="1" t="s">
        <v>38</v>
      </c>
      <c r="BG2449" s="7" t="s">
        <v>1242</v>
      </c>
    </row>
    <row r="2450" spans="1:59" ht="144" x14ac:dyDescent="0.45">
      <c r="A2450" s="5">
        <v>2449</v>
      </c>
      <c r="B2450" s="1" t="s">
        <v>11605</v>
      </c>
      <c r="C2450" s="6"/>
      <c r="E2450" s="1"/>
      <c r="F2450" s="1"/>
      <c r="G2450" s="1"/>
      <c r="J2450" s="1" t="s">
        <v>7559</v>
      </c>
      <c r="K2450" s="2" t="s">
        <v>11685</v>
      </c>
      <c r="P2450" s="7" t="s">
        <v>1241</v>
      </c>
      <c r="AV2450" s="1" t="s">
        <v>38</v>
      </c>
      <c r="BG2450" s="7" t="s">
        <v>1242</v>
      </c>
    </row>
    <row r="2451" spans="1:59" ht="270" x14ac:dyDescent="0.45">
      <c r="A2451" s="5">
        <v>2450</v>
      </c>
      <c r="B2451" s="1" t="s">
        <v>11606</v>
      </c>
      <c r="C2451" s="6"/>
      <c r="E2451" s="1"/>
      <c r="F2451" s="1"/>
      <c r="G2451" s="1"/>
      <c r="J2451" s="1" t="s">
        <v>7559</v>
      </c>
      <c r="K2451" s="2" t="s">
        <v>11686</v>
      </c>
      <c r="P2451" s="7" t="s">
        <v>1241</v>
      </c>
      <c r="AV2451" s="1" t="s">
        <v>38</v>
      </c>
      <c r="BG2451" s="7" t="s">
        <v>1242</v>
      </c>
    </row>
    <row r="2452" spans="1:59" ht="144" x14ac:dyDescent="0.45">
      <c r="A2452" s="5">
        <v>2451</v>
      </c>
      <c r="B2452" s="1" t="s">
        <v>11607</v>
      </c>
      <c r="C2452" s="6"/>
      <c r="E2452" s="1"/>
      <c r="F2452" s="1"/>
      <c r="G2452" s="1"/>
      <c r="J2452" s="1" t="s">
        <v>7559</v>
      </c>
      <c r="K2452" s="2" t="s">
        <v>11687</v>
      </c>
      <c r="P2452" s="7" t="s">
        <v>1241</v>
      </c>
      <c r="AV2452" s="1" t="s">
        <v>38</v>
      </c>
      <c r="BG2452" s="7" t="s">
        <v>1242</v>
      </c>
    </row>
    <row r="2453" spans="1:59" ht="324" x14ac:dyDescent="0.45">
      <c r="A2453" s="5">
        <v>2452</v>
      </c>
      <c r="B2453" s="1" t="s">
        <v>11608</v>
      </c>
      <c r="C2453" s="6"/>
      <c r="E2453" s="1"/>
      <c r="F2453" s="1"/>
      <c r="G2453" s="1"/>
      <c r="J2453" s="1" t="s">
        <v>7559</v>
      </c>
      <c r="K2453" s="2" t="s">
        <v>11688</v>
      </c>
      <c r="P2453" s="7" t="s">
        <v>1241</v>
      </c>
      <c r="AV2453" s="1" t="s">
        <v>38</v>
      </c>
      <c r="BG2453" s="7" t="s">
        <v>1242</v>
      </c>
    </row>
    <row r="2454" spans="1:59" ht="252" x14ac:dyDescent="0.45">
      <c r="A2454" s="5">
        <v>2453</v>
      </c>
      <c r="B2454" s="1" t="s">
        <v>11609</v>
      </c>
      <c r="C2454" s="6"/>
      <c r="E2454" s="1"/>
      <c r="F2454" s="1"/>
      <c r="G2454" s="1"/>
      <c r="J2454" s="1" t="s">
        <v>7559</v>
      </c>
      <c r="K2454" s="2" t="s">
        <v>11689</v>
      </c>
      <c r="P2454" s="7" t="s">
        <v>1241</v>
      </c>
      <c r="AV2454" s="1" t="s">
        <v>38</v>
      </c>
      <c r="BG2454" s="7" t="s">
        <v>1242</v>
      </c>
    </row>
    <row r="2455" spans="1:59" ht="270" x14ac:dyDescent="0.45">
      <c r="A2455" s="5">
        <v>2454</v>
      </c>
      <c r="B2455" s="1" t="s">
        <v>11610</v>
      </c>
      <c r="C2455" s="6"/>
      <c r="E2455" s="1"/>
      <c r="F2455" s="1"/>
      <c r="G2455" s="1"/>
      <c r="J2455" s="1" t="s">
        <v>7559</v>
      </c>
      <c r="K2455" s="11" t="s">
        <v>12284</v>
      </c>
      <c r="P2455" s="7" t="s">
        <v>1241</v>
      </c>
      <c r="AV2455" s="1" t="s">
        <v>38</v>
      </c>
      <c r="BG2455" s="7" t="s">
        <v>1242</v>
      </c>
    </row>
    <row r="2456" spans="1:59" ht="306" x14ac:dyDescent="0.45">
      <c r="A2456" s="5">
        <v>2455</v>
      </c>
      <c r="B2456" s="1" t="s">
        <v>11611</v>
      </c>
      <c r="C2456" s="6"/>
      <c r="E2456" s="1"/>
      <c r="F2456" s="1"/>
      <c r="G2456" s="1"/>
      <c r="J2456" s="1" t="s">
        <v>7559</v>
      </c>
      <c r="K2456" s="2" t="s">
        <v>11690</v>
      </c>
      <c r="P2456" s="7" t="s">
        <v>1241</v>
      </c>
      <c r="AV2456" s="1" t="s">
        <v>38</v>
      </c>
      <c r="BG2456" s="7" t="s">
        <v>1242</v>
      </c>
    </row>
    <row r="2457" spans="1:59" ht="180" x14ac:dyDescent="0.45">
      <c r="A2457" s="5">
        <v>2456</v>
      </c>
      <c r="B2457" s="1" t="s">
        <v>11612</v>
      </c>
      <c r="C2457" s="6"/>
      <c r="E2457" s="1"/>
      <c r="F2457" s="1"/>
      <c r="G2457" s="1"/>
      <c r="J2457" s="1" t="s">
        <v>7559</v>
      </c>
      <c r="K2457" s="2" t="s">
        <v>11691</v>
      </c>
      <c r="P2457" s="7" t="s">
        <v>1241</v>
      </c>
      <c r="AV2457" s="1" t="s">
        <v>38</v>
      </c>
      <c r="BG2457" s="7" t="s">
        <v>1242</v>
      </c>
    </row>
    <row r="2458" spans="1:59" ht="288" x14ac:dyDescent="0.45">
      <c r="A2458" s="5">
        <v>2457</v>
      </c>
      <c r="B2458" s="1" t="s">
        <v>11613</v>
      </c>
      <c r="C2458" s="6"/>
      <c r="E2458" s="1"/>
      <c r="F2458" s="1"/>
      <c r="G2458" s="1"/>
      <c r="J2458" s="1" t="s">
        <v>7559</v>
      </c>
      <c r="K2458" s="2" t="s">
        <v>11692</v>
      </c>
      <c r="P2458" s="7" t="s">
        <v>1241</v>
      </c>
      <c r="AV2458" s="1" t="s">
        <v>38</v>
      </c>
      <c r="BG2458" s="7" t="s">
        <v>1242</v>
      </c>
    </row>
    <row r="2459" spans="1:59" ht="252" x14ac:dyDescent="0.45">
      <c r="A2459" s="5">
        <v>2458</v>
      </c>
      <c r="B2459" s="1" t="s">
        <v>11614</v>
      </c>
      <c r="C2459" s="6"/>
      <c r="E2459" s="1"/>
      <c r="F2459" s="1"/>
      <c r="G2459" s="1"/>
      <c r="J2459" s="1" t="s">
        <v>7559</v>
      </c>
      <c r="K2459" s="2" t="s">
        <v>11693</v>
      </c>
      <c r="P2459" s="7" t="s">
        <v>1241</v>
      </c>
      <c r="AV2459" s="1" t="s">
        <v>38</v>
      </c>
      <c r="BG2459" s="7" t="s">
        <v>1242</v>
      </c>
    </row>
    <row r="2460" spans="1:59" ht="409.6" x14ac:dyDescent="0.45">
      <c r="A2460" s="5">
        <v>2459</v>
      </c>
      <c r="B2460" s="1" t="s">
        <v>11615</v>
      </c>
      <c r="C2460" s="6"/>
      <c r="E2460" s="1"/>
      <c r="F2460" s="1"/>
      <c r="G2460" s="1"/>
      <c r="J2460" s="1" t="s">
        <v>7559</v>
      </c>
      <c r="K2460" s="2" t="s">
        <v>11694</v>
      </c>
      <c r="P2460" s="7" t="s">
        <v>1241</v>
      </c>
      <c r="AV2460" s="1" t="s">
        <v>38</v>
      </c>
      <c r="BG2460" s="7" t="s">
        <v>1242</v>
      </c>
    </row>
    <row r="2461" spans="1:59" ht="198" x14ac:dyDescent="0.45">
      <c r="A2461" s="5">
        <v>2460</v>
      </c>
      <c r="B2461" s="1" t="s">
        <v>11616</v>
      </c>
      <c r="C2461" s="6"/>
      <c r="E2461" s="1"/>
      <c r="F2461" s="1"/>
      <c r="G2461" s="1"/>
      <c r="J2461" s="1" t="s">
        <v>7559</v>
      </c>
      <c r="K2461" s="11" t="s">
        <v>12118</v>
      </c>
      <c r="P2461" s="7" t="s">
        <v>1241</v>
      </c>
      <c r="AV2461" s="1" t="s">
        <v>38</v>
      </c>
      <c r="BG2461" s="7" t="s">
        <v>1242</v>
      </c>
    </row>
    <row r="2462" spans="1:59" ht="409.6" x14ac:dyDescent="0.45">
      <c r="A2462" s="5">
        <v>2461</v>
      </c>
      <c r="B2462" s="1" t="s">
        <v>11695</v>
      </c>
      <c r="C2462" s="6"/>
      <c r="E2462" s="1"/>
      <c r="F2462" s="1"/>
      <c r="G2462" s="1"/>
      <c r="J2462" s="1" t="s">
        <v>7559</v>
      </c>
      <c r="K2462" s="2" t="s">
        <v>11696</v>
      </c>
      <c r="P2462" s="7" t="s">
        <v>1241</v>
      </c>
      <c r="AV2462" s="1" t="s">
        <v>38</v>
      </c>
      <c r="BG2462" s="7" t="s">
        <v>1242</v>
      </c>
    </row>
    <row r="2463" spans="1:59" ht="252" x14ac:dyDescent="0.45">
      <c r="A2463" s="5">
        <v>2462</v>
      </c>
      <c r="B2463" s="1" t="s">
        <v>11617</v>
      </c>
      <c r="C2463" s="6"/>
      <c r="E2463" s="1"/>
      <c r="F2463" s="1"/>
      <c r="G2463" s="1"/>
      <c r="J2463" s="1" t="s">
        <v>7559</v>
      </c>
      <c r="K2463" s="2" t="s">
        <v>11697</v>
      </c>
      <c r="P2463" s="7" t="s">
        <v>1241</v>
      </c>
      <c r="AV2463" s="1" t="s">
        <v>38</v>
      </c>
      <c r="BG2463" s="7" t="s">
        <v>1242</v>
      </c>
    </row>
    <row r="2464" spans="1:59" ht="409.6" x14ac:dyDescent="0.45">
      <c r="A2464" s="5">
        <v>2463</v>
      </c>
      <c r="B2464" s="1" t="s">
        <v>11618</v>
      </c>
      <c r="C2464" s="6"/>
      <c r="E2464" s="1"/>
      <c r="F2464" s="1"/>
      <c r="G2464" s="1"/>
      <c r="J2464" s="1" t="s">
        <v>7559</v>
      </c>
      <c r="K2464" s="2" t="s">
        <v>11698</v>
      </c>
      <c r="P2464" s="7" t="s">
        <v>1241</v>
      </c>
      <c r="AV2464" s="1" t="s">
        <v>38</v>
      </c>
      <c r="BG2464" s="7" t="s">
        <v>1242</v>
      </c>
    </row>
    <row r="2465" spans="1:59" ht="306" x14ac:dyDescent="0.45">
      <c r="A2465" s="5">
        <v>2464</v>
      </c>
      <c r="B2465" s="1" t="s">
        <v>11619</v>
      </c>
      <c r="C2465" s="6"/>
      <c r="E2465" s="1"/>
      <c r="F2465" s="1"/>
      <c r="G2465" s="1"/>
      <c r="J2465" s="1" t="s">
        <v>7559</v>
      </c>
      <c r="K2465" s="2" t="s">
        <v>12285</v>
      </c>
      <c r="P2465" s="7" t="s">
        <v>1241</v>
      </c>
      <c r="AV2465" s="1" t="s">
        <v>38</v>
      </c>
      <c r="BG2465" s="7" t="s">
        <v>1242</v>
      </c>
    </row>
    <row r="2466" spans="1:59" ht="252" x14ac:dyDescent="0.45">
      <c r="A2466" s="5">
        <v>2465</v>
      </c>
      <c r="B2466" s="1" t="s">
        <v>11620</v>
      </c>
      <c r="C2466" s="6"/>
      <c r="E2466" s="1"/>
      <c r="F2466" s="1"/>
      <c r="G2466" s="1"/>
      <c r="J2466" s="1" t="s">
        <v>7559</v>
      </c>
      <c r="K2466" s="2" t="s">
        <v>11699</v>
      </c>
      <c r="P2466" s="7" t="s">
        <v>1241</v>
      </c>
      <c r="AV2466" s="1" t="s">
        <v>38</v>
      </c>
      <c r="BG2466" s="7" t="s">
        <v>1242</v>
      </c>
    </row>
    <row r="2467" spans="1:59" ht="409.6" x14ac:dyDescent="0.45">
      <c r="A2467" s="5">
        <v>2466</v>
      </c>
      <c r="B2467" s="1" t="s">
        <v>11621</v>
      </c>
      <c r="C2467" s="6"/>
      <c r="E2467" s="1"/>
      <c r="F2467" s="1"/>
      <c r="G2467" s="1"/>
      <c r="J2467" s="1" t="s">
        <v>7559</v>
      </c>
      <c r="K2467" s="2" t="s">
        <v>12286</v>
      </c>
      <c r="P2467" s="7" t="s">
        <v>1241</v>
      </c>
      <c r="AV2467" s="1" t="s">
        <v>38</v>
      </c>
      <c r="BG2467" s="7" t="s">
        <v>1242</v>
      </c>
    </row>
    <row r="2468" spans="1:59" ht="126" x14ac:dyDescent="0.45">
      <c r="A2468" s="5">
        <v>2467</v>
      </c>
      <c r="B2468" s="1" t="s">
        <v>11622</v>
      </c>
      <c r="C2468" s="6"/>
      <c r="E2468" s="1"/>
      <c r="F2468" s="1"/>
      <c r="G2468" s="1"/>
      <c r="J2468" s="1" t="s">
        <v>7559</v>
      </c>
      <c r="K2468" s="2" t="s">
        <v>11700</v>
      </c>
      <c r="P2468" s="7" t="s">
        <v>1241</v>
      </c>
      <c r="AV2468" s="1" t="s">
        <v>38</v>
      </c>
      <c r="BG2468" s="7" t="s">
        <v>1242</v>
      </c>
    </row>
    <row r="2469" spans="1:59" ht="252" x14ac:dyDescent="0.45">
      <c r="A2469" s="5">
        <v>2468</v>
      </c>
      <c r="B2469" s="1" t="s">
        <v>11623</v>
      </c>
      <c r="C2469" s="6"/>
      <c r="E2469" s="1"/>
      <c r="F2469" s="1"/>
      <c r="G2469" s="1"/>
      <c r="J2469" s="1" t="s">
        <v>7559</v>
      </c>
      <c r="K2469" s="2" t="s">
        <v>11701</v>
      </c>
      <c r="P2469" s="7" t="s">
        <v>1241</v>
      </c>
      <c r="AV2469" s="1" t="s">
        <v>38</v>
      </c>
      <c r="BG2469" s="7" t="s">
        <v>1242</v>
      </c>
    </row>
    <row r="2470" spans="1:59" ht="234" x14ac:dyDescent="0.45">
      <c r="A2470" s="5">
        <v>2469</v>
      </c>
      <c r="B2470" s="1" t="s">
        <v>11624</v>
      </c>
      <c r="C2470" s="6"/>
      <c r="E2470" s="1"/>
      <c r="F2470" s="1"/>
      <c r="G2470" s="1"/>
      <c r="J2470" s="1" t="s">
        <v>7559</v>
      </c>
      <c r="K2470" s="2" t="s">
        <v>11702</v>
      </c>
      <c r="P2470" s="7" t="s">
        <v>1241</v>
      </c>
      <c r="AV2470" s="1" t="s">
        <v>38</v>
      </c>
      <c r="BG2470" s="7" t="s">
        <v>1242</v>
      </c>
    </row>
    <row r="2471" spans="1:59" ht="126" x14ac:dyDescent="0.45">
      <c r="A2471" s="5">
        <v>2470</v>
      </c>
      <c r="B2471" s="1" t="s">
        <v>11625</v>
      </c>
      <c r="C2471" s="6"/>
      <c r="E2471" s="1"/>
      <c r="F2471" s="1"/>
      <c r="G2471" s="1"/>
      <c r="J2471" s="1" t="s">
        <v>7559</v>
      </c>
      <c r="K2471" s="2" t="s">
        <v>11703</v>
      </c>
      <c r="P2471" s="7" t="s">
        <v>1241</v>
      </c>
      <c r="AV2471" s="1" t="s">
        <v>38</v>
      </c>
      <c r="BG2471" s="7" t="s">
        <v>1242</v>
      </c>
    </row>
    <row r="2472" spans="1:59" ht="378" x14ac:dyDescent="0.45">
      <c r="A2472" s="5">
        <v>2471</v>
      </c>
      <c r="B2472" s="1" t="s">
        <v>11626</v>
      </c>
      <c r="C2472" s="6"/>
      <c r="E2472" s="1"/>
      <c r="F2472" s="1"/>
      <c r="G2472" s="1"/>
      <c r="J2472" s="1" t="s">
        <v>7559</v>
      </c>
      <c r="K2472" s="2" t="s">
        <v>11704</v>
      </c>
      <c r="P2472" s="7" t="s">
        <v>1241</v>
      </c>
      <c r="AV2472" s="1" t="s">
        <v>38</v>
      </c>
      <c r="BG2472" s="7" t="s">
        <v>1242</v>
      </c>
    </row>
    <row r="2473" spans="1:59" ht="126" x14ac:dyDescent="0.45">
      <c r="A2473" s="5">
        <v>2472</v>
      </c>
      <c r="B2473" s="1" t="s">
        <v>11627</v>
      </c>
      <c r="C2473" s="6"/>
      <c r="E2473" s="1"/>
      <c r="F2473" s="1"/>
      <c r="G2473" s="1"/>
      <c r="J2473" s="1" t="s">
        <v>7559</v>
      </c>
      <c r="K2473" s="2" t="s">
        <v>11705</v>
      </c>
      <c r="P2473" s="7" t="s">
        <v>1241</v>
      </c>
      <c r="AV2473" s="1" t="s">
        <v>38</v>
      </c>
      <c r="BG2473" s="7" t="s">
        <v>1242</v>
      </c>
    </row>
    <row r="2474" spans="1:59" ht="306" x14ac:dyDescent="0.45">
      <c r="A2474" s="5">
        <v>2473</v>
      </c>
      <c r="B2474" s="1" t="s">
        <v>11628</v>
      </c>
      <c r="C2474" s="6"/>
      <c r="E2474" s="1"/>
      <c r="F2474" s="1"/>
      <c r="G2474" s="1"/>
      <c r="J2474" s="1" t="s">
        <v>7559</v>
      </c>
      <c r="K2474" s="11" t="s">
        <v>12119</v>
      </c>
      <c r="P2474" s="7" t="s">
        <v>1241</v>
      </c>
      <c r="AV2474" s="1" t="s">
        <v>38</v>
      </c>
      <c r="BG2474" s="7" t="s">
        <v>1242</v>
      </c>
    </row>
    <row r="2475" spans="1:59" ht="72" x14ac:dyDescent="0.45">
      <c r="A2475" s="5">
        <v>2474</v>
      </c>
      <c r="B2475" s="1" t="s">
        <v>11629</v>
      </c>
      <c r="C2475" s="6"/>
      <c r="E2475" s="1"/>
      <c r="F2475" s="1"/>
      <c r="G2475" s="1"/>
      <c r="J2475" s="1" t="s">
        <v>7559</v>
      </c>
      <c r="K2475" s="2" t="s">
        <v>11706</v>
      </c>
      <c r="P2475" s="7" t="s">
        <v>1241</v>
      </c>
      <c r="AV2475" s="1" t="s">
        <v>38</v>
      </c>
      <c r="BG2475" s="7" t="s">
        <v>1242</v>
      </c>
    </row>
    <row r="2476" spans="1:59" ht="144" x14ac:dyDescent="0.45">
      <c r="A2476" s="5">
        <v>2475</v>
      </c>
      <c r="B2476" s="1" t="s">
        <v>11630</v>
      </c>
      <c r="C2476" s="6"/>
      <c r="E2476" s="1"/>
      <c r="F2476" s="1"/>
      <c r="G2476" s="1"/>
      <c r="J2476" s="1" t="s">
        <v>7559</v>
      </c>
      <c r="K2476" s="2" t="s">
        <v>11707</v>
      </c>
      <c r="P2476" s="7" t="s">
        <v>1241</v>
      </c>
      <c r="AV2476" s="1" t="s">
        <v>38</v>
      </c>
      <c r="BG2476" s="7" t="s">
        <v>1242</v>
      </c>
    </row>
    <row r="2477" spans="1:59" ht="144" x14ac:dyDescent="0.45">
      <c r="A2477" s="5">
        <v>2476</v>
      </c>
      <c r="B2477" s="1" t="s">
        <v>11631</v>
      </c>
      <c r="C2477" s="6"/>
      <c r="E2477" s="1"/>
      <c r="F2477" s="1"/>
      <c r="G2477" s="1"/>
      <c r="J2477" s="1" t="s">
        <v>7559</v>
      </c>
      <c r="K2477" s="2" t="s">
        <v>11708</v>
      </c>
      <c r="P2477" s="7" t="s">
        <v>1241</v>
      </c>
      <c r="AV2477" s="1" t="s">
        <v>38</v>
      </c>
      <c r="BG2477" s="7" t="s">
        <v>1242</v>
      </c>
    </row>
    <row r="2478" spans="1:59" ht="144" x14ac:dyDescent="0.45">
      <c r="A2478" s="5">
        <v>2477</v>
      </c>
      <c r="B2478" s="1" t="s">
        <v>11709</v>
      </c>
      <c r="C2478" s="6"/>
      <c r="E2478" s="1"/>
      <c r="F2478" s="1"/>
      <c r="G2478" s="1"/>
      <c r="J2478" s="1" t="s">
        <v>7559</v>
      </c>
      <c r="K2478" s="2" t="s">
        <v>11710</v>
      </c>
      <c r="P2478" s="7" t="s">
        <v>1241</v>
      </c>
      <c r="AV2478" s="1" t="s">
        <v>38</v>
      </c>
      <c r="BG2478" s="7" t="s">
        <v>1242</v>
      </c>
    </row>
    <row r="2479" spans="1:59" ht="144" x14ac:dyDescent="0.45">
      <c r="A2479" s="5">
        <v>2478</v>
      </c>
      <c r="B2479" s="1" t="s">
        <v>11632</v>
      </c>
      <c r="C2479" s="6"/>
      <c r="E2479" s="1"/>
      <c r="F2479" s="1"/>
      <c r="G2479" s="1"/>
      <c r="J2479" s="1" t="s">
        <v>7559</v>
      </c>
      <c r="K2479" s="2" t="s">
        <v>11711</v>
      </c>
      <c r="P2479" s="7" t="s">
        <v>1241</v>
      </c>
      <c r="AV2479" s="1" t="s">
        <v>38</v>
      </c>
      <c r="BG2479" s="7" t="s">
        <v>1242</v>
      </c>
    </row>
    <row r="2480" spans="1:59" ht="306" x14ac:dyDescent="0.45">
      <c r="A2480" s="5">
        <v>2479</v>
      </c>
      <c r="B2480" s="1" t="s">
        <v>11633</v>
      </c>
      <c r="C2480" s="6"/>
      <c r="E2480" s="1"/>
      <c r="F2480" s="1"/>
      <c r="G2480" s="1"/>
      <c r="J2480" s="1" t="s">
        <v>7559</v>
      </c>
      <c r="K2480" s="11" t="s">
        <v>12120</v>
      </c>
      <c r="P2480" s="7" t="s">
        <v>1241</v>
      </c>
      <c r="AV2480" s="1" t="s">
        <v>38</v>
      </c>
      <c r="BG2480" s="7" t="s">
        <v>1242</v>
      </c>
    </row>
    <row r="2481" spans="1:59" ht="144" x14ac:dyDescent="0.45">
      <c r="A2481" s="5">
        <v>2480</v>
      </c>
      <c r="B2481" s="1" t="s">
        <v>11634</v>
      </c>
      <c r="C2481" s="6"/>
      <c r="E2481" s="1"/>
      <c r="F2481" s="1"/>
      <c r="G2481" s="1"/>
      <c r="J2481" s="1" t="s">
        <v>7559</v>
      </c>
      <c r="K2481" s="2" t="s">
        <v>11712</v>
      </c>
      <c r="P2481" s="7" t="s">
        <v>1241</v>
      </c>
      <c r="AV2481" s="1" t="s">
        <v>38</v>
      </c>
      <c r="BG2481" s="7" t="s">
        <v>1242</v>
      </c>
    </row>
    <row r="2482" spans="1:59" ht="126" x14ac:dyDescent="0.45">
      <c r="A2482" s="5">
        <v>2481</v>
      </c>
      <c r="B2482" s="1" t="s">
        <v>11635</v>
      </c>
      <c r="C2482" s="6"/>
      <c r="E2482" s="1"/>
      <c r="F2482" s="1"/>
      <c r="G2482" s="1"/>
      <c r="J2482" s="1" t="s">
        <v>7559</v>
      </c>
      <c r="K2482" s="2" t="s">
        <v>11713</v>
      </c>
      <c r="P2482" s="7" t="s">
        <v>1241</v>
      </c>
      <c r="AV2482" s="1" t="s">
        <v>38</v>
      </c>
      <c r="BG2482" s="7" t="s">
        <v>1242</v>
      </c>
    </row>
    <row r="2483" spans="1:59" ht="126" x14ac:dyDescent="0.45">
      <c r="A2483" s="5">
        <v>2482</v>
      </c>
      <c r="B2483" s="1" t="s">
        <v>11636</v>
      </c>
      <c r="C2483" s="6"/>
      <c r="E2483" s="1"/>
      <c r="F2483" s="1"/>
      <c r="G2483" s="1"/>
      <c r="J2483" s="1" t="s">
        <v>7559</v>
      </c>
      <c r="K2483" s="2" t="s">
        <v>11714</v>
      </c>
      <c r="P2483" s="7" t="s">
        <v>1241</v>
      </c>
      <c r="AV2483" s="1" t="s">
        <v>38</v>
      </c>
      <c r="BG2483" s="7" t="s">
        <v>1242</v>
      </c>
    </row>
    <row r="2484" spans="1:59" ht="270" x14ac:dyDescent="0.45">
      <c r="A2484" s="5">
        <v>2483</v>
      </c>
      <c r="B2484" s="1" t="s">
        <v>11637</v>
      </c>
      <c r="C2484" s="6"/>
      <c r="E2484" s="1"/>
      <c r="F2484" s="1"/>
      <c r="G2484" s="1"/>
      <c r="J2484" s="1" t="s">
        <v>7559</v>
      </c>
      <c r="K2484" s="2" t="s">
        <v>11715</v>
      </c>
      <c r="P2484" s="7" t="s">
        <v>1241</v>
      </c>
      <c r="AV2484" s="1" t="s">
        <v>38</v>
      </c>
      <c r="BG2484" s="7" t="s">
        <v>1242</v>
      </c>
    </row>
    <row r="2485" spans="1:59" ht="198" x14ac:dyDescent="0.45">
      <c r="A2485" s="5">
        <v>2484</v>
      </c>
      <c r="B2485" s="1" t="s">
        <v>11638</v>
      </c>
      <c r="C2485" s="6"/>
      <c r="E2485" s="1"/>
      <c r="F2485" s="1"/>
      <c r="G2485" s="1"/>
      <c r="J2485" s="1" t="s">
        <v>7559</v>
      </c>
      <c r="K2485" s="11" t="s">
        <v>12126</v>
      </c>
      <c r="P2485" s="7" t="s">
        <v>1241</v>
      </c>
      <c r="AV2485" s="1" t="s">
        <v>38</v>
      </c>
      <c r="BG2485" s="7" t="s">
        <v>1242</v>
      </c>
    </row>
    <row r="2486" spans="1:59" ht="409.6" x14ac:dyDescent="0.45">
      <c r="A2486" s="5">
        <v>2485</v>
      </c>
      <c r="B2486" s="1" t="s">
        <v>11639</v>
      </c>
      <c r="C2486" s="6"/>
      <c r="E2486" s="1"/>
      <c r="F2486" s="1"/>
      <c r="G2486" s="1"/>
      <c r="J2486" s="1" t="s">
        <v>7559</v>
      </c>
      <c r="K2486" s="11" t="s">
        <v>12287</v>
      </c>
      <c r="P2486" s="7" t="s">
        <v>1241</v>
      </c>
      <c r="AV2486" s="1" t="s">
        <v>38</v>
      </c>
      <c r="BG2486" s="7" t="s">
        <v>1242</v>
      </c>
    </row>
    <row r="2487" spans="1:59" ht="90" x14ac:dyDescent="0.45">
      <c r="A2487" s="5">
        <v>2486</v>
      </c>
      <c r="B2487" s="1" t="s">
        <v>11640</v>
      </c>
      <c r="C2487" s="6"/>
      <c r="E2487" s="1"/>
      <c r="F2487" s="1"/>
      <c r="G2487" s="1"/>
      <c r="J2487" s="1" t="s">
        <v>7559</v>
      </c>
      <c r="K2487" s="2" t="s">
        <v>11716</v>
      </c>
      <c r="P2487" s="7" t="s">
        <v>1241</v>
      </c>
      <c r="AV2487" s="1" t="s">
        <v>38</v>
      </c>
      <c r="BG2487" s="7" t="s">
        <v>1242</v>
      </c>
    </row>
    <row r="2488" spans="1:59" ht="216" x14ac:dyDescent="0.45">
      <c r="A2488" s="5">
        <v>2487</v>
      </c>
      <c r="B2488" s="1" t="s">
        <v>11641</v>
      </c>
      <c r="C2488" s="6"/>
      <c r="E2488" s="1"/>
      <c r="F2488" s="1"/>
      <c r="G2488" s="1"/>
      <c r="J2488" s="1" t="s">
        <v>7559</v>
      </c>
      <c r="K2488" s="2" t="s">
        <v>11717</v>
      </c>
      <c r="P2488" s="7" t="s">
        <v>1241</v>
      </c>
      <c r="AV2488" s="1" t="s">
        <v>38</v>
      </c>
      <c r="BG2488" s="7" t="s">
        <v>1242</v>
      </c>
    </row>
    <row r="2489" spans="1:59" ht="396" x14ac:dyDescent="0.45">
      <c r="A2489" s="5">
        <v>2488</v>
      </c>
      <c r="B2489" s="1" t="s">
        <v>11642</v>
      </c>
      <c r="C2489" s="6"/>
      <c r="E2489" s="1"/>
      <c r="F2489" s="1"/>
      <c r="G2489" s="1"/>
      <c r="J2489" s="1" t="s">
        <v>7559</v>
      </c>
      <c r="K2489" s="2" t="s">
        <v>11718</v>
      </c>
      <c r="P2489" s="7" t="s">
        <v>1241</v>
      </c>
      <c r="AV2489" s="1" t="s">
        <v>38</v>
      </c>
      <c r="BG2489" s="7" t="s">
        <v>1242</v>
      </c>
    </row>
    <row r="2490" spans="1:59" ht="396" x14ac:dyDescent="0.45">
      <c r="A2490" s="5">
        <v>2489</v>
      </c>
      <c r="B2490" s="1" t="s">
        <v>11643</v>
      </c>
      <c r="C2490" s="6"/>
      <c r="E2490" s="1"/>
      <c r="F2490" s="1"/>
      <c r="G2490" s="1"/>
      <c r="J2490" s="1" t="s">
        <v>7559</v>
      </c>
      <c r="K2490" s="11" t="s">
        <v>12121</v>
      </c>
      <c r="P2490" s="7" t="s">
        <v>1241</v>
      </c>
      <c r="AV2490" s="1" t="s">
        <v>38</v>
      </c>
      <c r="BG2490" s="7" t="s">
        <v>1242</v>
      </c>
    </row>
    <row r="2491" spans="1:59" ht="126" x14ac:dyDescent="0.45">
      <c r="A2491" s="5">
        <v>2490</v>
      </c>
      <c r="B2491" s="1" t="s">
        <v>11644</v>
      </c>
      <c r="C2491" s="6"/>
      <c r="E2491" s="1"/>
      <c r="F2491" s="1"/>
      <c r="G2491" s="1"/>
      <c r="J2491" s="1" t="s">
        <v>7559</v>
      </c>
      <c r="K2491" s="2" t="s">
        <v>11719</v>
      </c>
      <c r="P2491" s="7" t="s">
        <v>1241</v>
      </c>
      <c r="AV2491" s="1" t="s">
        <v>38</v>
      </c>
      <c r="BG2491" s="7" t="s">
        <v>1242</v>
      </c>
    </row>
    <row r="2492" spans="1:59" ht="162" x14ac:dyDescent="0.45">
      <c r="A2492" s="5">
        <v>2491</v>
      </c>
      <c r="B2492" s="1" t="s">
        <v>11645</v>
      </c>
      <c r="C2492" s="6"/>
      <c r="E2492" s="1"/>
      <c r="F2492" s="1"/>
      <c r="G2492" s="1"/>
      <c r="J2492" s="1" t="s">
        <v>7559</v>
      </c>
      <c r="K2492" s="2" t="s">
        <v>11720</v>
      </c>
      <c r="P2492" s="7" t="s">
        <v>1241</v>
      </c>
      <c r="AV2492" s="1" t="s">
        <v>38</v>
      </c>
      <c r="BG2492" s="7" t="s">
        <v>1242</v>
      </c>
    </row>
    <row r="2493" spans="1:59" ht="396" x14ac:dyDescent="0.45">
      <c r="A2493" s="5">
        <v>2492</v>
      </c>
      <c r="B2493" s="1" t="s">
        <v>11646</v>
      </c>
      <c r="C2493" s="6"/>
      <c r="E2493" s="1"/>
      <c r="F2493" s="1"/>
      <c r="G2493" s="1"/>
      <c r="J2493" s="1" t="s">
        <v>7559</v>
      </c>
      <c r="K2493" s="11" t="s">
        <v>12122</v>
      </c>
      <c r="P2493" s="7" t="s">
        <v>1241</v>
      </c>
      <c r="AV2493" s="1" t="s">
        <v>38</v>
      </c>
      <c r="BG2493" s="7" t="s">
        <v>1242</v>
      </c>
    </row>
    <row r="2494" spans="1:59" ht="162" x14ac:dyDescent="0.45">
      <c r="A2494" s="5">
        <v>2493</v>
      </c>
      <c r="B2494" s="1" t="s">
        <v>11721</v>
      </c>
      <c r="C2494" s="6"/>
      <c r="E2494" s="1"/>
      <c r="F2494" s="1"/>
      <c r="G2494" s="1"/>
      <c r="J2494" s="1" t="s">
        <v>7559</v>
      </c>
      <c r="K2494" s="2" t="s">
        <v>11722</v>
      </c>
      <c r="P2494" s="7" t="s">
        <v>1241</v>
      </c>
      <c r="AV2494" s="1" t="s">
        <v>38</v>
      </c>
      <c r="BG2494" s="7" t="s">
        <v>1242</v>
      </c>
    </row>
    <row r="2495" spans="1:59" ht="144" x14ac:dyDescent="0.45">
      <c r="A2495" s="5">
        <v>2494</v>
      </c>
      <c r="B2495" s="1" t="s">
        <v>11647</v>
      </c>
      <c r="C2495" s="6"/>
      <c r="E2495" s="1"/>
      <c r="F2495" s="1"/>
      <c r="G2495" s="1"/>
      <c r="J2495" s="1" t="s">
        <v>7559</v>
      </c>
      <c r="K2495" s="2" t="s">
        <v>11723</v>
      </c>
      <c r="P2495" s="7" t="s">
        <v>1241</v>
      </c>
      <c r="AV2495" s="1" t="s">
        <v>38</v>
      </c>
      <c r="BG2495" s="7" t="s">
        <v>1242</v>
      </c>
    </row>
    <row r="2496" spans="1:59" ht="144" x14ac:dyDescent="0.45">
      <c r="A2496" s="5">
        <v>2495</v>
      </c>
      <c r="B2496" s="1" t="s">
        <v>11648</v>
      </c>
      <c r="C2496" s="6"/>
      <c r="E2496" s="1"/>
      <c r="F2496" s="1"/>
      <c r="G2496" s="1"/>
      <c r="J2496" s="1" t="s">
        <v>7559</v>
      </c>
      <c r="K2496" s="2" t="s">
        <v>11724</v>
      </c>
      <c r="P2496" s="7" t="s">
        <v>1241</v>
      </c>
      <c r="AV2496" s="1" t="s">
        <v>38</v>
      </c>
      <c r="BG2496" s="7" t="s">
        <v>1242</v>
      </c>
    </row>
    <row r="2497" spans="1:59" ht="270" x14ac:dyDescent="0.45">
      <c r="A2497" s="5">
        <v>2496</v>
      </c>
      <c r="B2497" s="1" t="s">
        <v>11649</v>
      </c>
      <c r="C2497" s="6"/>
      <c r="E2497" s="1"/>
      <c r="F2497" s="1"/>
      <c r="G2497" s="1"/>
      <c r="J2497" s="1" t="s">
        <v>7559</v>
      </c>
      <c r="K2497" s="11" t="s">
        <v>12123</v>
      </c>
      <c r="P2497" s="7" t="s">
        <v>1241</v>
      </c>
      <c r="AV2497" s="1" t="s">
        <v>38</v>
      </c>
      <c r="BG2497" s="7" t="s">
        <v>1242</v>
      </c>
    </row>
    <row r="2498" spans="1:59" ht="342" x14ac:dyDescent="0.45">
      <c r="A2498" s="5">
        <v>2497</v>
      </c>
      <c r="B2498" s="1" t="s">
        <v>11650</v>
      </c>
      <c r="C2498" s="6"/>
      <c r="E2498" s="1"/>
      <c r="F2498" s="1"/>
      <c r="G2498" s="1"/>
      <c r="J2498" s="1" t="s">
        <v>7559</v>
      </c>
      <c r="K2498" s="11" t="s">
        <v>12124</v>
      </c>
      <c r="P2498" s="7" t="s">
        <v>1241</v>
      </c>
      <c r="AV2498" s="1" t="s">
        <v>38</v>
      </c>
      <c r="BG2498" s="7" t="s">
        <v>1242</v>
      </c>
    </row>
    <row r="2499" spans="1:59" ht="409.6" x14ac:dyDescent="0.45">
      <c r="A2499" s="5">
        <v>2498</v>
      </c>
      <c r="B2499" s="1" t="s">
        <v>11651</v>
      </c>
      <c r="C2499" s="6"/>
      <c r="E2499" s="1"/>
      <c r="F2499" s="1"/>
      <c r="G2499" s="1"/>
      <c r="J2499" s="1" t="s">
        <v>7559</v>
      </c>
      <c r="K2499" s="11" t="s">
        <v>12288</v>
      </c>
      <c r="P2499" s="7" t="s">
        <v>1241</v>
      </c>
      <c r="AV2499" s="1" t="s">
        <v>38</v>
      </c>
      <c r="BG2499" s="7" t="s">
        <v>1242</v>
      </c>
    </row>
    <row r="2500" spans="1:59" ht="409.6" x14ac:dyDescent="0.45">
      <c r="A2500" s="5">
        <v>2499</v>
      </c>
      <c r="B2500" s="1" t="s">
        <v>11725</v>
      </c>
      <c r="C2500" s="6"/>
      <c r="E2500" s="1"/>
      <c r="F2500" s="1"/>
      <c r="G2500" s="1"/>
      <c r="J2500" s="1" t="s">
        <v>7559</v>
      </c>
      <c r="K2500" s="11" t="s">
        <v>12125</v>
      </c>
      <c r="P2500" s="7" t="s">
        <v>1241</v>
      </c>
      <c r="AV2500" s="1" t="s">
        <v>38</v>
      </c>
      <c r="BG2500" s="7" t="s">
        <v>1242</v>
      </c>
    </row>
    <row r="2501" spans="1:59" ht="409.6" x14ac:dyDescent="0.45">
      <c r="A2501" s="5">
        <v>2500</v>
      </c>
      <c r="B2501" s="1" t="s">
        <v>11652</v>
      </c>
      <c r="C2501" s="6"/>
      <c r="E2501" s="1"/>
      <c r="F2501" s="1"/>
      <c r="G2501" s="1"/>
      <c r="J2501" s="1" t="s">
        <v>7559</v>
      </c>
      <c r="K2501" s="11" t="s">
        <v>12289</v>
      </c>
      <c r="P2501" s="7" t="s">
        <v>1241</v>
      </c>
      <c r="AV2501" s="1" t="s">
        <v>38</v>
      </c>
      <c r="BG2501" s="7" t="s">
        <v>1242</v>
      </c>
    </row>
  </sheetData>
  <phoneticPr fontId="1"/>
  <conditionalFormatting sqref="K1502:K1582">
    <cfRule type="expression" dxfId="151" priority="152">
      <formula>ISBLANK($K1502)</formula>
    </cfRule>
  </conditionalFormatting>
  <conditionalFormatting sqref="L1 L19:L20 L70:L71 L73:L74 L125:L133 L176:L178 L180:L202 L204:L205 L208:L213 L258:L265 L267:L281 L299:L301 L303:L306 L310 L317:L320 L325:L326 L330 L332 L334:L339 L353:L360 L362:L364 L367:L368 L370 L372:L375 L377:L379 L381 L383 L414 L429 L435:L436 L438:L439 L442 L448:L449 L451 L453 L458:L461 L463:L464 L466:L471 L473:L476 L530 L548 L561:L563 L565 L573:L575 L577 L579:L584 L592 L596 L598:L653 Q354:T354">
    <cfRule type="expression" dxfId="150" priority="149">
      <formula>ISBLANK($L1)</formula>
    </cfRule>
  </conditionalFormatting>
  <conditionalFormatting sqref="L4:L17">
    <cfRule type="expression" dxfId="149" priority="146">
      <formula>ISBLANK($L4)</formula>
    </cfRule>
  </conditionalFormatting>
  <conditionalFormatting sqref="L23:L67">
    <cfRule type="expression" dxfId="148" priority="139">
      <formula>ISBLANK($L23)</formula>
    </cfRule>
  </conditionalFormatting>
  <conditionalFormatting sqref="L76:L102">
    <cfRule type="expression" dxfId="147" priority="133">
      <formula>ISBLANK($L76)</formula>
    </cfRule>
  </conditionalFormatting>
  <conditionalFormatting sqref="L104:L123">
    <cfRule type="expression" dxfId="146" priority="131">
      <formula>ISBLANK($L104)</formula>
    </cfRule>
  </conditionalFormatting>
  <conditionalFormatting sqref="L135:L174">
    <cfRule type="expression" dxfId="145" priority="134">
      <formula>ISBLANK($L135)</formula>
    </cfRule>
  </conditionalFormatting>
  <conditionalFormatting sqref="L215:L256">
    <cfRule type="expression" dxfId="144" priority="136">
      <formula>ISBLANK($L215)</formula>
    </cfRule>
  </conditionalFormatting>
  <conditionalFormatting sqref="L283:L295">
    <cfRule type="expression" dxfId="143" priority="143">
      <formula>ISBLANK($L283)</formula>
    </cfRule>
  </conditionalFormatting>
  <conditionalFormatting sqref="L297">
    <cfRule type="expression" dxfId="142" priority="151">
      <formula>ISBLANK($L297)</formula>
    </cfRule>
  </conditionalFormatting>
  <conditionalFormatting sqref="L312:L315">
    <cfRule type="expression" dxfId="141" priority="147">
      <formula>ISBLANK($L312)</formula>
    </cfRule>
  </conditionalFormatting>
  <conditionalFormatting sqref="L322">
    <cfRule type="expression" dxfId="140" priority="150">
      <formula>ISBLANK($L322)</formula>
    </cfRule>
  </conditionalFormatting>
  <conditionalFormatting sqref="L341:L350">
    <cfRule type="expression" dxfId="139" priority="135">
      <formula>ISBLANK($L341)</formula>
    </cfRule>
  </conditionalFormatting>
  <conditionalFormatting sqref="L388">
    <cfRule type="expression" dxfId="138" priority="148">
      <formula>ISBLANK($L388)</formula>
    </cfRule>
  </conditionalFormatting>
  <conditionalFormatting sqref="L426">
    <cfRule type="expression" dxfId="137" priority="145">
      <formula>ISBLANK($L426)</formula>
    </cfRule>
  </conditionalFormatting>
  <conditionalFormatting sqref="L444:L446">
    <cfRule type="expression" dxfId="136" priority="144">
      <formula>ISBLANK($L444)</formula>
    </cfRule>
  </conditionalFormatting>
  <conditionalFormatting sqref="L498">
    <cfRule type="expression" dxfId="135" priority="142">
      <formula>ISBLANK($L498)</formula>
    </cfRule>
  </conditionalFormatting>
  <conditionalFormatting sqref="L502">
    <cfRule type="expression" dxfId="134" priority="141">
      <formula>ISBLANK($L502)</formula>
    </cfRule>
  </conditionalFormatting>
  <conditionalFormatting sqref="L528">
    <cfRule type="expression" dxfId="133" priority="140">
      <formula>ISBLANK($L528)</formula>
    </cfRule>
  </conditionalFormatting>
  <conditionalFormatting sqref="L543:L545">
    <cfRule type="expression" dxfId="132" priority="129">
      <formula>ISBLANK($L543)</formula>
    </cfRule>
  </conditionalFormatting>
  <conditionalFormatting sqref="L550:L559">
    <cfRule type="expression" dxfId="131" priority="138">
      <formula>ISBLANK($L550)</formula>
    </cfRule>
  </conditionalFormatting>
  <conditionalFormatting sqref="L567:L570">
    <cfRule type="expression" dxfId="130" priority="137">
      <formula>ISBLANK($L567)</formula>
    </cfRule>
  </conditionalFormatting>
  <conditionalFormatting sqref="L655:L737">
    <cfRule type="expression" dxfId="129" priority="128">
      <formula>ISBLANK($L655)</formula>
    </cfRule>
  </conditionalFormatting>
  <conditionalFormatting sqref="L739:L783">
    <cfRule type="expression" dxfId="128" priority="132">
      <formula>ISBLANK($L739)</formula>
    </cfRule>
  </conditionalFormatting>
  <conditionalFormatting sqref="L785:L1501">
    <cfRule type="expression" dxfId="127" priority="130">
      <formula>ISBLANK($L785)</formula>
    </cfRule>
  </conditionalFormatting>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22 E1524:E2501">
    <cfRule type="expression" dxfId="126" priority="127">
      <formula>ISBLANK($E1)</formula>
    </cfRule>
  </conditionalFormatting>
  <conditionalFormatting sqref="Q320:R320 Q257 Q580:T580">
    <cfRule type="expression" dxfId="125" priority="109">
      <formula>ISBLANK($L257)</formula>
    </cfRule>
  </conditionalFormatting>
  <conditionalFormatting sqref="Q203">
    <cfRule type="expression" dxfId="124" priority="79">
      <formula>ISBLANK($L203)</formula>
    </cfRule>
  </conditionalFormatting>
  <conditionalFormatting sqref="Q297">
    <cfRule type="expression" dxfId="123" priority="124">
      <formula>ISBLANK($L297)</formula>
    </cfRule>
  </conditionalFormatting>
  <conditionalFormatting sqref="Q300">
    <cfRule type="expression" dxfId="122" priority="123">
      <formula>ISBLANK($L300)</formula>
    </cfRule>
  </conditionalFormatting>
  <conditionalFormatting sqref="Q332">
    <cfRule type="expression" dxfId="121" priority="118">
      <formula>ISBLANK($L332)</formula>
    </cfRule>
  </conditionalFormatting>
  <conditionalFormatting sqref="Q338">
    <cfRule type="expression" dxfId="120" priority="117">
      <formula>ISBLANK($L338)</formula>
    </cfRule>
  </conditionalFormatting>
  <conditionalFormatting sqref="Q356">
    <cfRule type="expression" dxfId="119" priority="113">
      <formula>ISBLANK($L356)</formula>
    </cfRule>
  </conditionalFormatting>
  <conditionalFormatting sqref="Q368">
    <cfRule type="expression" dxfId="118" priority="112">
      <formula>ISBLANK($L368)</formula>
    </cfRule>
  </conditionalFormatting>
  <conditionalFormatting sqref="Q379">
    <cfRule type="expression" dxfId="117" priority="110">
      <formula>ISBLANK($L379)</formula>
    </cfRule>
  </conditionalFormatting>
  <conditionalFormatting sqref="Q388">
    <cfRule type="expression" dxfId="116" priority="98">
      <formula>ISBLANK($L388)</formula>
    </cfRule>
  </conditionalFormatting>
  <conditionalFormatting sqref="Q406">
    <cfRule type="expression" dxfId="115" priority="93">
      <formula>ISBLANK($L406)</formula>
    </cfRule>
  </conditionalFormatting>
  <conditionalFormatting sqref="Q446">
    <cfRule type="expression" dxfId="114" priority="85">
      <formula>ISBLANK($L446)</formula>
    </cfRule>
  </conditionalFormatting>
  <conditionalFormatting sqref="Q459">
    <cfRule type="expression" dxfId="113" priority="84">
      <formula>ISBLANK($L459)</formula>
    </cfRule>
  </conditionalFormatting>
  <conditionalFormatting sqref="Q510">
    <cfRule type="expression" dxfId="112" priority="27">
      <formula>ISBLANK($L510)</formula>
    </cfRule>
  </conditionalFormatting>
  <conditionalFormatting sqref="Q660">
    <cfRule type="expression" dxfId="111" priority="34">
      <formula>ISBLANK($L660)</formula>
    </cfRule>
  </conditionalFormatting>
  <conditionalFormatting sqref="Q697">
    <cfRule type="expression" dxfId="110" priority="49">
      <formula>ISBLANK($L697)</formula>
    </cfRule>
  </conditionalFormatting>
  <conditionalFormatting sqref="Q737">
    <cfRule type="expression" dxfId="109" priority="14">
      <formula>ISBLANK($L737)</formula>
    </cfRule>
  </conditionalFormatting>
  <conditionalFormatting sqref="Q743">
    <cfRule type="expression" dxfId="108" priority="13">
      <formula>ISBLANK($L743)</formula>
    </cfRule>
  </conditionalFormatting>
  <conditionalFormatting sqref="Q752">
    <cfRule type="expression" dxfId="107" priority="12">
      <formula>ISBLANK($L752)</formula>
    </cfRule>
  </conditionalFormatting>
  <conditionalFormatting sqref="Q814">
    <cfRule type="expression" dxfId="106" priority="17">
      <formula>ISBLANK($L814)</formula>
    </cfRule>
  </conditionalFormatting>
  <conditionalFormatting sqref="Q325:R325">
    <cfRule type="expression" dxfId="105" priority="119">
      <formula>ISBLANK($L325)</formula>
    </cfRule>
  </conditionalFormatting>
  <conditionalFormatting sqref="Q341:R341">
    <cfRule type="expression" dxfId="104" priority="90">
      <formula>ISBLANK($L341)</formula>
    </cfRule>
  </conditionalFormatting>
  <conditionalFormatting sqref="Q374:R374">
    <cfRule type="expression" dxfId="103" priority="111">
      <formula>ISBLANK($L374)</formula>
    </cfRule>
  </conditionalFormatting>
  <conditionalFormatting sqref="Q426:R426">
    <cfRule type="expression" dxfId="102" priority="91">
      <formula>ISBLANK($L426)</formula>
    </cfRule>
  </conditionalFormatting>
  <conditionalFormatting sqref="Q429:R429">
    <cfRule type="expression" dxfId="101" priority="89">
      <formula>ISBLANK($L429)</formula>
    </cfRule>
  </conditionalFormatting>
  <conditionalFormatting sqref="Q312:S312">
    <cfRule type="expression" dxfId="100" priority="121">
      <formula>ISBLANK($L312)</formula>
    </cfRule>
  </conditionalFormatting>
  <conditionalFormatting sqref="Q528:S528">
    <cfRule type="expression" dxfId="99" priority="28">
      <formula>ISBLANK($L528)</formula>
    </cfRule>
  </conditionalFormatting>
  <conditionalFormatting sqref="Q558:U558">
    <cfRule type="expression" dxfId="98" priority="69">
      <formula>ISBLANK($L558)</formula>
    </cfRule>
  </conditionalFormatting>
  <conditionalFormatting sqref="Q318:V318">
    <cfRule type="expression" dxfId="97" priority="120">
      <formula>ISBLANK($L318)</formula>
    </cfRule>
  </conditionalFormatting>
  <conditionalFormatting sqref="Q4">
    <cfRule type="expression" dxfId="96" priority="16">
      <formula>ISBLANK($L4)</formula>
    </cfRule>
  </conditionalFormatting>
  <conditionalFormatting sqref="R7">
    <cfRule type="expression" dxfId="95" priority="92">
      <formula>ISBLANK($L7)</formula>
    </cfRule>
  </conditionalFormatting>
  <conditionalFormatting sqref="T31">
    <cfRule type="expression" dxfId="94" priority="22">
      <formula>ISBLANK($L32)</formula>
    </cfRule>
  </conditionalFormatting>
  <conditionalFormatting sqref="Q77">
    <cfRule type="expression" dxfId="93" priority="107">
      <formula>ISBLANK($L77)</formula>
    </cfRule>
  </conditionalFormatting>
  <conditionalFormatting sqref="Q85">
    <cfRule type="expression" dxfId="92" priority="106">
      <formula>ISBLANK($L85)</formula>
    </cfRule>
  </conditionalFormatting>
  <conditionalFormatting sqref="Q114:Q115">
    <cfRule type="expression" dxfId="91" priority="1">
      <formula>ISBLANK($L114)</formula>
    </cfRule>
  </conditionalFormatting>
  <conditionalFormatting sqref="Q145">
    <cfRule type="expression" dxfId="90" priority="10">
      <formula>ISBLANK($L146)</formula>
    </cfRule>
  </conditionalFormatting>
  <conditionalFormatting sqref="Q200">
    <cfRule type="expression" dxfId="89" priority="96">
      <formula>ISBLANK($L200)</formula>
    </cfRule>
  </conditionalFormatting>
  <conditionalFormatting sqref="Q228">
    <cfRule type="expression" dxfId="88" priority="105">
      <formula>ISBLANK($L228)</formula>
    </cfRule>
  </conditionalFormatting>
  <conditionalFormatting sqref="Q244">
    <cfRule type="expression" dxfId="87" priority="126">
      <formula>ISBLANK($L244)</formula>
    </cfRule>
  </conditionalFormatting>
  <conditionalFormatting sqref="Q259">
    <cfRule type="expression" dxfId="86" priority="94">
      <formula>ISBLANK($L259)</formula>
    </cfRule>
  </conditionalFormatting>
  <conditionalFormatting sqref="Q290">
    <cfRule type="expression" dxfId="85" priority="61">
      <formula>ISBLANK($L290)</formula>
    </cfRule>
  </conditionalFormatting>
  <conditionalFormatting sqref="Q303">
    <cfRule type="expression" dxfId="84" priority="97">
      <formula>ISBLANK($L303)</formula>
    </cfRule>
  </conditionalFormatting>
  <conditionalFormatting sqref="Q324">
    <cfRule type="expression" dxfId="83" priority="114">
      <formula>ISBLANK($L324)</formula>
    </cfRule>
  </conditionalFormatting>
  <conditionalFormatting sqref="Q333">
    <cfRule type="expression" dxfId="82" priority="74">
      <formula>ISBLANK($L333)</formula>
    </cfRule>
  </conditionalFormatting>
  <conditionalFormatting sqref="Q414:Q416">
    <cfRule type="expression" dxfId="81" priority="3">
      <formula>ISBLANK($L414)</formula>
    </cfRule>
  </conditionalFormatting>
  <conditionalFormatting sqref="Q447">
    <cfRule type="expression" dxfId="80" priority="80">
      <formula>ISBLANK($L447)</formula>
    </cfRule>
  </conditionalFormatting>
  <conditionalFormatting sqref="Q457">
    <cfRule type="expression" dxfId="79" priority="75">
      <formula>ISBLANK($L457)</formula>
    </cfRule>
  </conditionalFormatting>
  <conditionalFormatting sqref="Q499">
    <cfRule type="expression" dxfId="78" priority="9">
      <formula>ISBLANK($L501)</formula>
    </cfRule>
  </conditionalFormatting>
  <conditionalFormatting sqref="Q515">
    <cfRule type="expression" dxfId="77" priority="70">
      <formula>ISBLANK($L515)</formula>
    </cfRule>
  </conditionalFormatting>
  <conditionalFormatting sqref="Q549">
    <cfRule type="expression" dxfId="76" priority="68">
      <formula>ISBLANK($L549)</formula>
    </cfRule>
  </conditionalFormatting>
  <conditionalFormatting sqref="Q560">
    <cfRule type="expression" dxfId="75" priority="67">
      <formula>ISBLANK($L560)</formula>
    </cfRule>
  </conditionalFormatting>
  <conditionalFormatting sqref="Q571">
    <cfRule type="expression" dxfId="74" priority="51">
      <formula>ISBLANK($L571)</formula>
    </cfRule>
  </conditionalFormatting>
  <conditionalFormatting sqref="Q586">
    <cfRule type="expression" dxfId="73" priority="62">
      <formula>ISBLANK($L586)</formula>
    </cfRule>
  </conditionalFormatting>
  <conditionalFormatting sqref="Q588:Q589">
    <cfRule type="expression" dxfId="72" priority="58">
      <formula>ISBLANK($L588)</formula>
    </cfRule>
  </conditionalFormatting>
  <conditionalFormatting sqref="Q654">
    <cfRule type="expression" dxfId="71" priority="53">
      <formula>ISBLANK($L654)</formula>
    </cfRule>
  </conditionalFormatting>
  <conditionalFormatting sqref="Q707">
    <cfRule type="expression" dxfId="70" priority="21">
      <formula>ISBLANK($L708)</formula>
    </cfRule>
  </conditionalFormatting>
  <conditionalFormatting sqref="Q758">
    <cfRule type="expression" dxfId="69" priority="8">
      <formula>ISBLANK($L758)</formula>
    </cfRule>
  </conditionalFormatting>
  <conditionalFormatting sqref="R43:S43">
    <cfRule type="expression" dxfId="68" priority="18">
      <formula>ISBLANK($L43)</formula>
    </cfRule>
  </conditionalFormatting>
  <conditionalFormatting sqref="Q99:S99">
    <cfRule type="expression" dxfId="67" priority="66">
      <formula>ISBLANK($L99)</formula>
    </cfRule>
  </conditionalFormatting>
  <conditionalFormatting sqref="Q436:R436">
    <cfRule type="expression" dxfId="66" priority="88">
      <formula>ISBLANK($L436)</formula>
    </cfRule>
  </conditionalFormatting>
  <conditionalFormatting sqref="Q502:R502">
    <cfRule type="expression" dxfId="65" priority="72">
      <formula>ISBLANK($L502)</formula>
    </cfRule>
  </conditionalFormatting>
  <conditionalFormatting sqref="Q1010:R1010">
    <cfRule type="expression" dxfId="64" priority="2">
      <formula>ISBLANK($L1010)</formula>
    </cfRule>
  </conditionalFormatting>
  <conditionalFormatting sqref="Q383:S383">
    <cfRule type="expression" dxfId="63" priority="24">
      <formula>ISBLANK($L383)</formula>
    </cfRule>
  </conditionalFormatting>
  <conditionalFormatting sqref="Q444:S444">
    <cfRule type="expression" dxfId="62" priority="81">
      <formula>ISBLANK($L444)</formula>
    </cfRule>
  </conditionalFormatting>
  <conditionalFormatting sqref="Q581:S581">
    <cfRule type="expression" dxfId="61" priority="30">
      <formula>ISBLANK($L581)</formula>
    </cfRule>
  </conditionalFormatting>
  <conditionalFormatting sqref="Q651:S651">
    <cfRule type="expression" dxfId="60" priority="54">
      <formula>ISBLANK($L651)</formula>
    </cfRule>
  </conditionalFormatting>
  <conditionalFormatting sqref="Q344:U344">
    <cfRule type="expression" dxfId="59" priority="63">
      <formula>ISBLANK($L344)</formula>
    </cfRule>
  </conditionalFormatting>
  <conditionalFormatting sqref="Q567:U567">
    <cfRule type="expression" dxfId="58" priority="64">
      <formula>ISBLANK($L567)</formula>
    </cfRule>
  </conditionalFormatting>
  <conditionalFormatting sqref="Q322:V322">
    <cfRule type="expression" dxfId="57" priority="115">
      <formula>ISBLANK($L322)</formula>
    </cfRule>
  </conditionalFormatting>
  <conditionalFormatting sqref="R31">
    <cfRule type="expression" dxfId="56" priority="20">
      <formula>ISBLANK($L31)</formula>
    </cfRule>
  </conditionalFormatting>
  <conditionalFormatting sqref="R64">
    <cfRule type="expression" dxfId="55" priority="59">
      <formula>ISBLANK($L64)</formula>
    </cfRule>
  </conditionalFormatting>
  <conditionalFormatting sqref="R79">
    <cfRule type="expression" dxfId="54" priority="60">
      <formula>ISBLANK($L79)</formula>
    </cfRule>
  </conditionalFormatting>
  <conditionalFormatting sqref="R115">
    <cfRule type="expression" dxfId="53" priority="103">
      <formula>ISBLANK($L115)</formula>
    </cfRule>
  </conditionalFormatting>
  <conditionalFormatting sqref="R129">
    <cfRule type="expression" dxfId="52" priority="87">
      <formula>ISBLANK($L129)</formula>
    </cfRule>
  </conditionalFormatting>
  <conditionalFormatting sqref="R133">
    <cfRule type="expression" dxfId="51" priority="56">
      <formula>ISBLANK($L133)</formula>
    </cfRule>
  </conditionalFormatting>
  <conditionalFormatting sqref="R184">
    <cfRule type="expression" dxfId="50" priority="86">
      <formula>ISBLANK($L184)</formula>
    </cfRule>
  </conditionalFormatting>
  <conditionalFormatting sqref="R275">
    <cfRule type="expression" dxfId="49" priority="65">
      <formula>ISBLANK($L275)</formula>
    </cfRule>
  </conditionalFormatting>
  <conditionalFormatting sqref="R280">
    <cfRule type="expression" dxfId="48" priority="5">
      <formula>ISBLANK($L280)</formula>
    </cfRule>
  </conditionalFormatting>
  <conditionalFormatting sqref="R286">
    <cfRule type="expression" dxfId="47" priority="125">
      <formula>ISBLANK($L286)</formula>
    </cfRule>
  </conditionalFormatting>
  <conditionalFormatting sqref="R302">
    <cfRule type="expression" dxfId="46" priority="122">
      <formula>ISBLANK($L302)</formula>
    </cfRule>
  </conditionalFormatting>
  <conditionalFormatting sqref="R311">
    <cfRule type="expression" dxfId="45" priority="116">
      <formula>ISBLANK($L311)</formula>
    </cfRule>
  </conditionalFormatting>
  <conditionalFormatting sqref="R499">
    <cfRule type="expression" dxfId="44" priority="73">
      <formula>ISBLANK($L499)</formula>
    </cfRule>
  </conditionalFormatting>
  <conditionalFormatting sqref="R510">
    <cfRule type="expression" dxfId="43" priority="26">
      <formula>ISBLANK($L511)</formula>
    </cfRule>
  </conditionalFormatting>
  <conditionalFormatting sqref="R589">
    <cfRule type="expression" dxfId="42" priority="57">
      <formula>ISBLANK($L589)</formula>
    </cfRule>
  </conditionalFormatting>
  <conditionalFormatting sqref="R655">
    <cfRule type="expression" dxfId="41" priority="50">
      <formula>ISBLANK($L655)</formula>
    </cfRule>
  </conditionalFormatting>
  <conditionalFormatting sqref="R692">
    <cfRule type="expression" dxfId="40" priority="44">
      <formula>ISBLANK($L692)</formula>
    </cfRule>
  </conditionalFormatting>
  <conditionalFormatting sqref="R707">
    <cfRule type="expression" dxfId="39" priority="19">
      <formula>ISBLANK($L707)</formula>
    </cfRule>
  </conditionalFormatting>
  <conditionalFormatting sqref="R722">
    <cfRule type="expression" dxfId="38" priority="37">
      <formula>ISBLANK($L722)</formula>
    </cfRule>
  </conditionalFormatting>
  <conditionalFormatting sqref="V102">
    <cfRule type="expression" dxfId="37" priority="7">
      <formula>ISBLANK($L102)</formula>
    </cfRule>
  </conditionalFormatting>
  <conditionalFormatting sqref="S159">
    <cfRule type="expression" dxfId="36" priority="102">
      <formula>ISBLANK($L159)</formula>
    </cfRule>
  </conditionalFormatting>
  <conditionalFormatting sqref="S225">
    <cfRule type="expression" dxfId="35" priority="6">
      <formula>ISBLANK($L225)</formula>
    </cfRule>
  </conditionalFormatting>
  <conditionalFormatting sqref="S498">
    <cfRule type="expression" dxfId="34" priority="55">
      <formula>ISBLANK($L498)</formula>
    </cfRule>
  </conditionalFormatting>
  <conditionalFormatting sqref="S660">
    <cfRule type="expression" dxfId="33" priority="33">
      <formula>ISBLANK($L659)</formula>
    </cfRule>
  </conditionalFormatting>
  <conditionalFormatting sqref="S722">
    <cfRule type="expression" dxfId="32" priority="36">
      <formula>ISBLANK($L721)</formula>
    </cfRule>
  </conditionalFormatting>
  <conditionalFormatting sqref="S422:T422">
    <cfRule type="expression" dxfId="31" priority="52">
      <formula>ISBLANK($L422)</formula>
    </cfRule>
  </conditionalFormatting>
  <conditionalFormatting sqref="S510:U510">
    <cfRule type="expression" dxfId="30" priority="25">
      <formula>ISBLANK($L510)</formula>
    </cfRule>
  </conditionalFormatting>
  <conditionalFormatting sqref="V17">
    <cfRule type="expression" dxfId="29" priority="48">
      <formula>ISBLANK($L18)</formula>
    </cfRule>
  </conditionalFormatting>
  <conditionalFormatting sqref="T206">
    <cfRule type="expression" dxfId="28" priority="47">
      <formula>ISBLANK($L206)</formula>
    </cfRule>
  </conditionalFormatting>
  <conditionalFormatting sqref="T340">
    <cfRule type="expression" dxfId="27" priority="46">
      <formula>ISBLANK($L339)</formula>
    </cfRule>
  </conditionalFormatting>
  <conditionalFormatting sqref="T383">
    <cfRule type="expression" dxfId="26" priority="23">
      <formula>ISBLANK($L384)</formula>
    </cfRule>
  </conditionalFormatting>
  <conditionalFormatting sqref="T433">
    <cfRule type="expression" dxfId="25" priority="45">
      <formula>ISBLANK($L431)</formula>
    </cfRule>
  </conditionalFormatting>
  <conditionalFormatting sqref="T454">
    <cfRule type="expression" dxfId="24" priority="4">
      <formula>ISBLANK($L454)</formula>
    </cfRule>
  </conditionalFormatting>
  <conditionalFormatting sqref="T660:U660">
    <cfRule type="expression" dxfId="23" priority="32">
      <formula>ISBLANK($L660)</formula>
    </cfRule>
  </conditionalFormatting>
  <conditionalFormatting sqref="T722:U722">
    <cfRule type="expression" dxfId="22" priority="35">
      <formula>ISBLANK($L722)</formula>
    </cfRule>
  </conditionalFormatting>
  <conditionalFormatting sqref="U275">
    <cfRule type="expression" dxfId="21" priority="95">
      <formula>ISBLANK($L275)</formula>
    </cfRule>
  </conditionalFormatting>
  <conditionalFormatting sqref="U528">
    <cfRule type="expression" dxfId="20" priority="29">
      <formula>ISBLANK($L529)</formula>
    </cfRule>
  </conditionalFormatting>
  <conditionalFormatting sqref="U581">
    <cfRule type="expression" dxfId="19" priority="31">
      <formula>ISBLANK($L582)</formula>
    </cfRule>
  </conditionalFormatting>
  <conditionalFormatting sqref="U17">
    <cfRule type="expression" dxfId="18" priority="42">
      <formula>ISBLANK($L17)</formula>
    </cfRule>
  </conditionalFormatting>
  <conditionalFormatting sqref="V107">
    <cfRule type="expression" dxfId="17" priority="78">
      <formula>ISBLANK($L107)</formula>
    </cfRule>
  </conditionalFormatting>
  <conditionalFormatting sqref="V206">
    <cfRule type="expression" dxfId="16" priority="41">
      <formula>ISBLANK($L206)</formula>
    </cfRule>
  </conditionalFormatting>
  <conditionalFormatting sqref="V225">
    <cfRule type="expression" dxfId="15" priority="77">
      <formula>ISBLANK($L225)</formula>
    </cfRule>
  </conditionalFormatting>
  <conditionalFormatting sqref="V340">
    <cfRule type="expression" dxfId="14" priority="40">
      <formula>ISBLANK($L340)</formula>
    </cfRule>
  </conditionalFormatting>
  <conditionalFormatting sqref="V433">
    <cfRule type="expression" dxfId="13" priority="39">
      <formula>ISBLANK($L433)</formula>
    </cfRule>
  </conditionalFormatting>
  <conditionalFormatting sqref="V692">
    <cfRule type="expression" dxfId="12" priority="43">
      <formula>ISBLANK($L690)</formula>
    </cfRule>
  </conditionalFormatting>
  <conditionalFormatting sqref="V725">
    <cfRule type="expression" dxfId="11" priority="38">
      <formula>ISBLANK($L722)</formula>
    </cfRule>
  </conditionalFormatting>
  <conditionalFormatting sqref="W407">
    <cfRule type="expression" dxfId="10" priority="11">
      <formula>ISBLANK($L407)</formula>
    </cfRule>
  </conditionalFormatting>
  <conditionalFormatting sqref="W280:X280">
    <cfRule type="expression" dxfId="9" priority="76">
      <formula>ISBLANK($L280)</formula>
    </cfRule>
  </conditionalFormatting>
  <conditionalFormatting sqref="Y31">
    <cfRule type="expression" dxfId="8" priority="15">
      <formula>ISBLANK($L31)</formula>
    </cfRule>
  </conditionalFormatting>
  <conditionalFormatting sqref="Y134">
    <cfRule type="expression" dxfId="7" priority="108">
      <formula>ISBLANK($L134)</formula>
    </cfRule>
  </conditionalFormatting>
  <conditionalFormatting sqref="Y241">
    <cfRule type="expression" dxfId="6" priority="99">
      <formula>ISBLANK($L241)</formula>
    </cfRule>
  </conditionalFormatting>
  <conditionalFormatting sqref="Z170">
    <cfRule type="expression" dxfId="5" priority="101">
      <formula>ISBLANK($L170)</formula>
    </cfRule>
  </conditionalFormatting>
  <conditionalFormatting sqref="AA200">
    <cfRule type="expression" dxfId="4" priority="100">
      <formula>ISBLANK($L200)</formula>
    </cfRule>
  </conditionalFormatting>
  <conditionalFormatting sqref="AC122:AG122">
    <cfRule type="expression" dxfId="3" priority="104">
      <formula>ISBLANK($L122)</formula>
    </cfRule>
  </conditionalFormatting>
  <conditionalFormatting sqref="AC434:AG434">
    <cfRule type="expression" dxfId="2" priority="83">
      <formula>ISBLANK($L434)</formula>
    </cfRule>
  </conditionalFormatting>
  <conditionalFormatting sqref="AC437:AG437">
    <cfRule type="expression" dxfId="1" priority="82">
      <formula>ISBLANK($L437)</formula>
    </cfRule>
  </conditionalFormatting>
  <conditionalFormatting sqref="AC514:AG514">
    <cfRule type="expression" dxfId="0" priority="71">
      <formula>ISBLANK($L514)</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2026-09-24T05:24:10Z</dcterms:modified>
</cp:coreProperties>
</file>