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R:\PaulLookInThisFolder\"/>
    </mc:Choice>
  </mc:AlternateContent>
  <xr:revisionPtr revIDLastSave="0" documentId="13_ncr:1_{9C4442E4-37F2-4410-A20F-DA21B89B5623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raw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57" i="1" l="1"/>
  <c r="T357" i="1" l="1"/>
  <c r="T356" i="1"/>
  <c r="S356" i="1"/>
  <c r="R356" i="1"/>
  <c r="S355" i="1"/>
  <c r="T355" i="1"/>
  <c r="R355" i="1"/>
  <c r="S357" i="1"/>
  <c r="S354" i="1"/>
  <c r="T354" i="1"/>
  <c r="Z359" i="1"/>
  <c r="Z360" i="1"/>
  <c r="Z361" i="1"/>
  <c r="Z362" i="1"/>
  <c r="Z363" i="1"/>
  <c r="Z364" i="1"/>
  <c r="Z365" i="1"/>
  <c r="Z366" i="1"/>
  <c r="T366" i="1" s="1"/>
  <c r="Z367" i="1"/>
  <c r="Z368" i="1"/>
  <c r="Z369" i="1"/>
  <c r="Z370" i="1"/>
  <c r="Z371" i="1"/>
  <c r="Z372" i="1"/>
  <c r="Z373" i="1"/>
  <c r="Z374" i="1"/>
  <c r="T374" i="1" s="1"/>
  <c r="Z375" i="1"/>
  <c r="Z376" i="1"/>
  <c r="Z377" i="1"/>
  <c r="Z378" i="1"/>
  <c r="Z379" i="1"/>
  <c r="Z380" i="1"/>
  <c r="Z381" i="1"/>
  <c r="Z382" i="1"/>
  <c r="T382" i="1" s="1"/>
  <c r="Z383" i="1"/>
  <c r="Z384" i="1"/>
  <c r="Z385" i="1"/>
  <c r="Z386" i="1"/>
  <c r="Z387" i="1"/>
  <c r="Z388" i="1"/>
  <c r="Z389" i="1"/>
  <c r="Z390" i="1"/>
  <c r="T390" i="1" s="1"/>
  <c r="Z391" i="1"/>
  <c r="Z392" i="1"/>
  <c r="Z393" i="1"/>
  <c r="Z394" i="1"/>
  <c r="Z395" i="1"/>
  <c r="Z396" i="1"/>
  <c r="Z397" i="1"/>
  <c r="Z398" i="1"/>
  <c r="T398" i="1" s="1"/>
  <c r="Z399" i="1"/>
  <c r="Z400" i="1"/>
  <c r="Z401" i="1"/>
  <c r="Z402" i="1"/>
  <c r="Z403" i="1"/>
  <c r="Z404" i="1"/>
  <c r="Z405" i="1"/>
  <c r="Z406" i="1"/>
  <c r="T406" i="1" s="1"/>
  <c r="Z407" i="1"/>
  <c r="Z408" i="1"/>
  <c r="Z409" i="1"/>
  <c r="Z410" i="1"/>
  <c r="Z411" i="1"/>
  <c r="Z412" i="1"/>
  <c r="Z413" i="1"/>
  <c r="Z414" i="1"/>
  <c r="T414" i="1" s="1"/>
  <c r="Z415" i="1"/>
  <c r="Z416" i="1"/>
  <c r="Z417" i="1"/>
  <c r="Z418" i="1"/>
  <c r="Z419" i="1"/>
  <c r="Z420" i="1"/>
  <c r="Z421" i="1"/>
  <c r="Z422" i="1"/>
  <c r="T422" i="1" s="1"/>
  <c r="Z423" i="1"/>
  <c r="Z424" i="1"/>
  <c r="Z425" i="1"/>
  <c r="Z426" i="1"/>
  <c r="Z427" i="1"/>
  <c r="Z428" i="1"/>
  <c r="Z429" i="1"/>
  <c r="Z430" i="1"/>
  <c r="T430" i="1" s="1"/>
  <c r="Z431" i="1"/>
  <c r="Z432" i="1"/>
  <c r="Z433" i="1"/>
  <c r="Z434" i="1"/>
  <c r="Z435" i="1"/>
  <c r="Z436" i="1"/>
  <c r="Z437" i="1"/>
  <c r="Z438" i="1"/>
  <c r="T438" i="1" s="1"/>
  <c r="Z439" i="1"/>
  <c r="Z440" i="1"/>
  <c r="Z441" i="1"/>
  <c r="Z442" i="1"/>
  <c r="Z443" i="1"/>
  <c r="Z444" i="1"/>
  <c r="Z445" i="1"/>
  <c r="Z446" i="1"/>
  <c r="T446" i="1" s="1"/>
  <c r="Z447" i="1"/>
  <c r="Z448" i="1"/>
  <c r="Z449" i="1"/>
  <c r="Z450" i="1"/>
  <c r="Z451" i="1"/>
  <c r="Z452" i="1"/>
  <c r="Z453" i="1"/>
  <c r="Z454" i="1"/>
  <c r="T454" i="1" s="1"/>
  <c r="Z455" i="1"/>
  <c r="Z348" i="1"/>
  <c r="Z349" i="1"/>
  <c r="T349" i="1" s="1"/>
  <c r="Z350" i="1"/>
  <c r="Z351" i="1"/>
  <c r="Z352" i="1"/>
  <c r="Z353" i="1"/>
  <c r="T353" i="1" s="1"/>
  <c r="Z354" i="1"/>
  <c r="Z355" i="1"/>
  <c r="Z356" i="1"/>
  <c r="Z357" i="1"/>
  <c r="Z358" i="1"/>
  <c r="R351" i="1"/>
  <c r="S351" i="1"/>
  <c r="T351" i="1"/>
  <c r="R352" i="1"/>
  <c r="S352" i="1"/>
  <c r="T352" i="1"/>
  <c r="R353" i="1"/>
  <c r="S353" i="1"/>
  <c r="R354" i="1"/>
  <c r="R358" i="1"/>
  <c r="S358" i="1"/>
  <c r="T358" i="1"/>
  <c r="R359" i="1"/>
  <c r="S359" i="1"/>
  <c r="T359" i="1"/>
  <c r="R360" i="1"/>
  <c r="S360" i="1"/>
  <c r="T360" i="1"/>
  <c r="R361" i="1"/>
  <c r="S361" i="1"/>
  <c r="T361" i="1"/>
  <c r="R362" i="1"/>
  <c r="S362" i="1"/>
  <c r="T362" i="1"/>
  <c r="R363" i="1"/>
  <c r="S363" i="1"/>
  <c r="T363" i="1"/>
  <c r="R364" i="1"/>
  <c r="S364" i="1"/>
  <c r="T364" i="1"/>
  <c r="R365" i="1"/>
  <c r="S365" i="1"/>
  <c r="T365" i="1"/>
  <c r="R366" i="1"/>
  <c r="S366" i="1"/>
  <c r="R367" i="1"/>
  <c r="S367" i="1"/>
  <c r="T367" i="1"/>
  <c r="R368" i="1"/>
  <c r="S368" i="1"/>
  <c r="T368" i="1"/>
  <c r="R369" i="1"/>
  <c r="S369" i="1"/>
  <c r="T369" i="1"/>
  <c r="R370" i="1"/>
  <c r="S370" i="1"/>
  <c r="T370" i="1"/>
  <c r="R371" i="1"/>
  <c r="S371" i="1"/>
  <c r="T371" i="1"/>
  <c r="R372" i="1"/>
  <c r="S372" i="1"/>
  <c r="T372" i="1"/>
  <c r="R373" i="1"/>
  <c r="S373" i="1"/>
  <c r="T373" i="1"/>
  <c r="R374" i="1"/>
  <c r="S374" i="1"/>
  <c r="R375" i="1"/>
  <c r="S375" i="1"/>
  <c r="T375" i="1"/>
  <c r="R376" i="1"/>
  <c r="S376" i="1"/>
  <c r="T376" i="1"/>
  <c r="R377" i="1"/>
  <c r="S377" i="1"/>
  <c r="T377" i="1"/>
  <c r="R378" i="1"/>
  <c r="S378" i="1"/>
  <c r="T378" i="1"/>
  <c r="R379" i="1"/>
  <c r="S379" i="1"/>
  <c r="T379" i="1"/>
  <c r="R380" i="1"/>
  <c r="S380" i="1"/>
  <c r="T380" i="1"/>
  <c r="R381" i="1"/>
  <c r="S381" i="1"/>
  <c r="T381" i="1"/>
  <c r="R382" i="1"/>
  <c r="S382" i="1"/>
  <c r="R383" i="1"/>
  <c r="S383" i="1"/>
  <c r="T383" i="1"/>
  <c r="R384" i="1"/>
  <c r="S384" i="1"/>
  <c r="T384" i="1"/>
  <c r="R385" i="1"/>
  <c r="S385" i="1"/>
  <c r="T385" i="1"/>
  <c r="R386" i="1"/>
  <c r="S386" i="1"/>
  <c r="T386" i="1"/>
  <c r="R387" i="1"/>
  <c r="S387" i="1"/>
  <c r="T387" i="1"/>
  <c r="R388" i="1"/>
  <c r="S388" i="1"/>
  <c r="T388" i="1"/>
  <c r="R389" i="1"/>
  <c r="S389" i="1"/>
  <c r="T389" i="1"/>
  <c r="R390" i="1"/>
  <c r="S390" i="1"/>
  <c r="R391" i="1"/>
  <c r="S391" i="1"/>
  <c r="T391" i="1"/>
  <c r="R392" i="1"/>
  <c r="S392" i="1"/>
  <c r="T392" i="1"/>
  <c r="R393" i="1"/>
  <c r="S393" i="1"/>
  <c r="T393" i="1"/>
  <c r="R394" i="1"/>
  <c r="S394" i="1"/>
  <c r="T394" i="1"/>
  <c r="R395" i="1"/>
  <c r="S395" i="1"/>
  <c r="T395" i="1"/>
  <c r="R396" i="1"/>
  <c r="S396" i="1"/>
  <c r="T396" i="1"/>
  <c r="R397" i="1"/>
  <c r="S397" i="1"/>
  <c r="T397" i="1"/>
  <c r="R398" i="1"/>
  <c r="S398" i="1"/>
  <c r="R399" i="1"/>
  <c r="S399" i="1"/>
  <c r="T399" i="1"/>
  <c r="R400" i="1"/>
  <c r="S400" i="1"/>
  <c r="T400" i="1"/>
  <c r="R401" i="1"/>
  <c r="S401" i="1"/>
  <c r="T401" i="1"/>
  <c r="R402" i="1"/>
  <c r="S402" i="1"/>
  <c r="T402" i="1"/>
  <c r="R403" i="1"/>
  <c r="S403" i="1"/>
  <c r="T403" i="1"/>
  <c r="R404" i="1"/>
  <c r="S404" i="1"/>
  <c r="T404" i="1"/>
  <c r="R405" i="1"/>
  <c r="S405" i="1"/>
  <c r="T405" i="1"/>
  <c r="R406" i="1"/>
  <c r="S406" i="1"/>
  <c r="R407" i="1"/>
  <c r="S407" i="1"/>
  <c r="T407" i="1"/>
  <c r="R408" i="1"/>
  <c r="S408" i="1"/>
  <c r="T408" i="1"/>
  <c r="R409" i="1"/>
  <c r="S409" i="1"/>
  <c r="T409" i="1"/>
  <c r="R410" i="1"/>
  <c r="S410" i="1"/>
  <c r="T410" i="1"/>
  <c r="R411" i="1"/>
  <c r="S411" i="1"/>
  <c r="T411" i="1"/>
  <c r="R412" i="1"/>
  <c r="S412" i="1"/>
  <c r="T412" i="1"/>
  <c r="R413" i="1"/>
  <c r="S413" i="1"/>
  <c r="T413" i="1"/>
  <c r="R414" i="1"/>
  <c r="S414" i="1"/>
  <c r="R415" i="1"/>
  <c r="S415" i="1"/>
  <c r="T415" i="1"/>
  <c r="R416" i="1"/>
  <c r="S416" i="1"/>
  <c r="T416" i="1"/>
  <c r="R417" i="1"/>
  <c r="S417" i="1"/>
  <c r="T417" i="1"/>
  <c r="R418" i="1"/>
  <c r="S418" i="1"/>
  <c r="T418" i="1"/>
  <c r="R419" i="1"/>
  <c r="S419" i="1"/>
  <c r="T419" i="1"/>
  <c r="R420" i="1"/>
  <c r="S420" i="1"/>
  <c r="T420" i="1"/>
  <c r="R421" i="1"/>
  <c r="S421" i="1"/>
  <c r="T421" i="1"/>
  <c r="R422" i="1"/>
  <c r="S422" i="1"/>
  <c r="R423" i="1"/>
  <c r="S423" i="1"/>
  <c r="T423" i="1"/>
  <c r="R424" i="1"/>
  <c r="S424" i="1"/>
  <c r="T424" i="1"/>
  <c r="R425" i="1"/>
  <c r="S425" i="1"/>
  <c r="T425" i="1"/>
  <c r="R426" i="1"/>
  <c r="S426" i="1"/>
  <c r="T426" i="1"/>
  <c r="R427" i="1"/>
  <c r="S427" i="1"/>
  <c r="T427" i="1"/>
  <c r="R428" i="1"/>
  <c r="S428" i="1"/>
  <c r="T428" i="1"/>
  <c r="R429" i="1"/>
  <c r="S429" i="1"/>
  <c r="T429" i="1"/>
  <c r="R430" i="1"/>
  <c r="S430" i="1"/>
  <c r="R431" i="1"/>
  <c r="S431" i="1"/>
  <c r="T431" i="1"/>
  <c r="R432" i="1"/>
  <c r="S432" i="1"/>
  <c r="T432" i="1"/>
  <c r="R433" i="1"/>
  <c r="S433" i="1"/>
  <c r="T433" i="1"/>
  <c r="R434" i="1"/>
  <c r="S434" i="1"/>
  <c r="T434" i="1"/>
  <c r="R435" i="1"/>
  <c r="S435" i="1"/>
  <c r="T435" i="1"/>
  <c r="R436" i="1"/>
  <c r="S436" i="1"/>
  <c r="T436" i="1"/>
  <c r="R437" i="1"/>
  <c r="S437" i="1"/>
  <c r="T437" i="1"/>
  <c r="R438" i="1"/>
  <c r="S438" i="1"/>
  <c r="R439" i="1"/>
  <c r="S439" i="1"/>
  <c r="T439" i="1"/>
  <c r="R440" i="1"/>
  <c r="S440" i="1"/>
  <c r="T440" i="1"/>
  <c r="R441" i="1"/>
  <c r="S441" i="1"/>
  <c r="T441" i="1"/>
  <c r="R442" i="1"/>
  <c r="S442" i="1"/>
  <c r="T442" i="1"/>
  <c r="R443" i="1"/>
  <c r="S443" i="1"/>
  <c r="T443" i="1"/>
  <c r="R444" i="1"/>
  <c r="S444" i="1"/>
  <c r="T444" i="1"/>
  <c r="R445" i="1"/>
  <c r="S445" i="1"/>
  <c r="T445" i="1"/>
  <c r="R446" i="1"/>
  <c r="S446" i="1"/>
  <c r="R447" i="1"/>
  <c r="S447" i="1"/>
  <c r="T447" i="1"/>
  <c r="R448" i="1"/>
  <c r="S448" i="1"/>
  <c r="T448" i="1"/>
  <c r="R449" i="1"/>
  <c r="S449" i="1"/>
  <c r="T449" i="1"/>
  <c r="R450" i="1"/>
  <c r="S450" i="1"/>
  <c r="T450" i="1"/>
  <c r="R451" i="1"/>
  <c r="S451" i="1"/>
  <c r="T451" i="1"/>
  <c r="R452" i="1"/>
  <c r="S452" i="1"/>
  <c r="T452" i="1"/>
  <c r="R453" i="1"/>
  <c r="S453" i="1"/>
  <c r="T453" i="1"/>
  <c r="R454" i="1"/>
  <c r="S454" i="1"/>
  <c r="R455" i="1"/>
  <c r="S455" i="1"/>
  <c r="T455" i="1"/>
  <c r="R348" i="1"/>
  <c r="S348" i="1"/>
  <c r="T348" i="1"/>
  <c r="R349" i="1"/>
  <c r="S349" i="1"/>
  <c r="R350" i="1"/>
  <c r="S350" i="1"/>
  <c r="T350" i="1"/>
  <c r="U356" i="1"/>
  <c r="V356" i="1"/>
  <c r="W356" i="1"/>
  <c r="U357" i="1"/>
  <c r="V357" i="1"/>
  <c r="W357" i="1"/>
  <c r="U358" i="1"/>
  <c r="V358" i="1"/>
  <c r="W358" i="1"/>
  <c r="U359" i="1"/>
  <c r="V359" i="1"/>
  <c r="W359" i="1"/>
  <c r="U360" i="1"/>
  <c r="V360" i="1"/>
  <c r="W360" i="1"/>
  <c r="U361" i="1"/>
  <c r="V361" i="1"/>
  <c r="W361" i="1"/>
  <c r="U362" i="1"/>
  <c r="V362" i="1"/>
  <c r="W362" i="1"/>
  <c r="U363" i="1"/>
  <c r="V363" i="1"/>
  <c r="W363" i="1"/>
  <c r="U364" i="1"/>
  <c r="V364" i="1"/>
  <c r="W364" i="1"/>
  <c r="U365" i="1"/>
  <c r="V365" i="1"/>
  <c r="W365" i="1"/>
  <c r="U366" i="1"/>
  <c r="V366" i="1"/>
  <c r="W366" i="1"/>
  <c r="U367" i="1"/>
  <c r="V367" i="1"/>
  <c r="W367" i="1"/>
  <c r="U368" i="1"/>
  <c r="V368" i="1"/>
  <c r="W368" i="1"/>
  <c r="U369" i="1"/>
  <c r="V369" i="1"/>
  <c r="W369" i="1"/>
  <c r="U370" i="1"/>
  <c r="V370" i="1"/>
  <c r="W370" i="1"/>
  <c r="U371" i="1"/>
  <c r="V371" i="1"/>
  <c r="W371" i="1"/>
  <c r="U372" i="1"/>
  <c r="V372" i="1"/>
  <c r="W372" i="1"/>
  <c r="U373" i="1"/>
  <c r="V373" i="1"/>
  <c r="W373" i="1"/>
  <c r="U374" i="1"/>
  <c r="V374" i="1"/>
  <c r="W374" i="1"/>
  <c r="U375" i="1"/>
  <c r="V375" i="1"/>
  <c r="W375" i="1"/>
  <c r="U376" i="1"/>
  <c r="V376" i="1"/>
  <c r="W376" i="1"/>
  <c r="U377" i="1"/>
  <c r="V377" i="1"/>
  <c r="W377" i="1"/>
  <c r="U378" i="1"/>
  <c r="V378" i="1"/>
  <c r="W378" i="1"/>
  <c r="U379" i="1"/>
  <c r="V379" i="1"/>
  <c r="W379" i="1"/>
  <c r="U380" i="1"/>
  <c r="V380" i="1"/>
  <c r="W380" i="1"/>
  <c r="U381" i="1"/>
  <c r="V381" i="1"/>
  <c r="W381" i="1"/>
  <c r="U382" i="1"/>
  <c r="V382" i="1"/>
  <c r="W382" i="1"/>
  <c r="U383" i="1"/>
  <c r="V383" i="1"/>
  <c r="W383" i="1"/>
  <c r="U384" i="1"/>
  <c r="V384" i="1"/>
  <c r="W384" i="1"/>
  <c r="U385" i="1"/>
  <c r="V385" i="1"/>
  <c r="W385" i="1"/>
  <c r="U386" i="1"/>
  <c r="V386" i="1"/>
  <c r="W386" i="1"/>
  <c r="U387" i="1"/>
  <c r="V387" i="1"/>
  <c r="W387" i="1"/>
  <c r="U388" i="1"/>
  <c r="V388" i="1"/>
  <c r="W388" i="1"/>
  <c r="U389" i="1"/>
  <c r="V389" i="1"/>
  <c r="W389" i="1"/>
  <c r="U390" i="1"/>
  <c r="V390" i="1"/>
  <c r="W390" i="1"/>
  <c r="U391" i="1"/>
  <c r="V391" i="1"/>
  <c r="W391" i="1"/>
  <c r="U392" i="1"/>
  <c r="V392" i="1"/>
  <c r="W392" i="1"/>
  <c r="U393" i="1"/>
  <c r="V393" i="1"/>
  <c r="W393" i="1"/>
  <c r="U394" i="1"/>
  <c r="V394" i="1"/>
  <c r="W394" i="1"/>
  <c r="U395" i="1"/>
  <c r="V395" i="1"/>
  <c r="W395" i="1"/>
  <c r="U396" i="1"/>
  <c r="V396" i="1"/>
  <c r="W396" i="1"/>
  <c r="U397" i="1"/>
  <c r="V397" i="1"/>
  <c r="W397" i="1"/>
  <c r="U398" i="1"/>
  <c r="V398" i="1"/>
  <c r="W398" i="1"/>
  <c r="U399" i="1"/>
  <c r="V399" i="1"/>
  <c r="W399" i="1"/>
  <c r="U400" i="1"/>
  <c r="V400" i="1"/>
  <c r="W400" i="1"/>
  <c r="U401" i="1"/>
  <c r="V401" i="1"/>
  <c r="W401" i="1"/>
  <c r="U402" i="1"/>
  <c r="V402" i="1"/>
  <c r="W402" i="1"/>
  <c r="U403" i="1"/>
  <c r="V403" i="1"/>
  <c r="W403" i="1"/>
  <c r="U404" i="1"/>
  <c r="V404" i="1"/>
  <c r="W404" i="1"/>
  <c r="U405" i="1"/>
  <c r="V405" i="1"/>
  <c r="W405" i="1"/>
  <c r="U406" i="1"/>
  <c r="V406" i="1"/>
  <c r="W406" i="1"/>
  <c r="U407" i="1"/>
  <c r="V407" i="1"/>
  <c r="W407" i="1"/>
  <c r="U408" i="1"/>
  <c r="V408" i="1"/>
  <c r="W408" i="1"/>
  <c r="U409" i="1"/>
  <c r="V409" i="1"/>
  <c r="W409" i="1"/>
  <c r="U410" i="1"/>
  <c r="V410" i="1"/>
  <c r="W410" i="1"/>
  <c r="U411" i="1"/>
  <c r="V411" i="1"/>
  <c r="W411" i="1"/>
  <c r="U412" i="1"/>
  <c r="V412" i="1"/>
  <c r="W412" i="1"/>
  <c r="U413" i="1"/>
  <c r="V413" i="1"/>
  <c r="W413" i="1"/>
  <c r="U414" i="1"/>
  <c r="V414" i="1"/>
  <c r="W414" i="1"/>
  <c r="U415" i="1"/>
  <c r="V415" i="1"/>
  <c r="W415" i="1"/>
  <c r="U416" i="1"/>
  <c r="V416" i="1"/>
  <c r="W416" i="1"/>
  <c r="U417" i="1"/>
  <c r="V417" i="1"/>
  <c r="W417" i="1"/>
  <c r="U418" i="1"/>
  <c r="V418" i="1"/>
  <c r="W418" i="1"/>
  <c r="U419" i="1"/>
  <c r="V419" i="1"/>
  <c r="W419" i="1"/>
  <c r="U420" i="1"/>
  <c r="V420" i="1"/>
  <c r="W420" i="1"/>
  <c r="U421" i="1"/>
  <c r="V421" i="1"/>
  <c r="W421" i="1"/>
  <c r="U422" i="1"/>
  <c r="V422" i="1"/>
  <c r="W422" i="1"/>
  <c r="U423" i="1"/>
  <c r="V423" i="1"/>
  <c r="W423" i="1"/>
  <c r="U424" i="1"/>
  <c r="V424" i="1"/>
  <c r="W424" i="1"/>
  <c r="U425" i="1"/>
  <c r="V425" i="1"/>
  <c r="W425" i="1"/>
  <c r="U426" i="1"/>
  <c r="V426" i="1"/>
  <c r="W426" i="1"/>
  <c r="U427" i="1"/>
  <c r="V427" i="1"/>
  <c r="W427" i="1"/>
  <c r="U428" i="1"/>
  <c r="V428" i="1"/>
  <c r="W428" i="1"/>
  <c r="U429" i="1"/>
  <c r="V429" i="1"/>
  <c r="W429" i="1"/>
  <c r="U430" i="1"/>
  <c r="V430" i="1"/>
  <c r="W430" i="1"/>
  <c r="U431" i="1"/>
  <c r="V431" i="1"/>
  <c r="W431" i="1"/>
  <c r="U432" i="1"/>
  <c r="V432" i="1"/>
  <c r="W432" i="1"/>
  <c r="U433" i="1"/>
  <c r="V433" i="1"/>
  <c r="W433" i="1"/>
  <c r="U434" i="1"/>
  <c r="V434" i="1"/>
  <c r="W434" i="1"/>
  <c r="U435" i="1"/>
  <c r="V435" i="1"/>
  <c r="W435" i="1"/>
  <c r="U436" i="1"/>
  <c r="V436" i="1"/>
  <c r="W436" i="1"/>
  <c r="U437" i="1"/>
  <c r="V437" i="1"/>
  <c r="W437" i="1"/>
  <c r="U438" i="1"/>
  <c r="V438" i="1"/>
  <c r="W438" i="1"/>
  <c r="U439" i="1"/>
  <c r="V439" i="1"/>
  <c r="W439" i="1"/>
  <c r="U440" i="1"/>
  <c r="V440" i="1"/>
  <c r="W440" i="1"/>
  <c r="U441" i="1"/>
  <c r="V441" i="1"/>
  <c r="W441" i="1"/>
  <c r="U442" i="1"/>
  <c r="V442" i="1"/>
  <c r="W442" i="1"/>
  <c r="U443" i="1"/>
  <c r="V443" i="1"/>
  <c r="W443" i="1"/>
  <c r="U444" i="1"/>
  <c r="V444" i="1"/>
  <c r="W444" i="1"/>
  <c r="U445" i="1"/>
  <c r="V445" i="1"/>
  <c r="W445" i="1"/>
  <c r="U446" i="1"/>
  <c r="V446" i="1"/>
  <c r="W446" i="1"/>
  <c r="U447" i="1"/>
  <c r="V447" i="1"/>
  <c r="W447" i="1"/>
  <c r="U448" i="1"/>
  <c r="V448" i="1"/>
  <c r="W448" i="1"/>
  <c r="U449" i="1"/>
  <c r="V449" i="1"/>
  <c r="W449" i="1"/>
  <c r="U450" i="1"/>
  <c r="V450" i="1"/>
  <c r="W450" i="1"/>
  <c r="U451" i="1"/>
  <c r="V451" i="1"/>
  <c r="W451" i="1"/>
  <c r="U452" i="1"/>
  <c r="V452" i="1"/>
  <c r="W452" i="1"/>
  <c r="U453" i="1"/>
  <c r="V453" i="1"/>
  <c r="W453" i="1"/>
  <c r="U454" i="1"/>
  <c r="V454" i="1"/>
  <c r="W454" i="1"/>
  <c r="R357" i="1" l="1"/>
  <c r="M356" i="1"/>
  <c r="M355" i="1" l="1"/>
  <c r="M354" i="1"/>
  <c r="M353" i="1" l="1"/>
  <c r="M352" i="1" l="1"/>
  <c r="M351" i="1" l="1"/>
  <c r="M350" i="1" l="1"/>
  <c r="Z347" i="1" l="1"/>
  <c r="Z346" i="1"/>
  <c r="W347" i="1"/>
  <c r="W346" i="1"/>
  <c r="U338" i="1"/>
  <c r="V338" i="1"/>
  <c r="W338" i="1"/>
  <c r="U339" i="1"/>
  <c r="V339" i="1"/>
  <c r="W339" i="1"/>
  <c r="U340" i="1"/>
  <c r="V340" i="1"/>
  <c r="W340" i="1"/>
  <c r="U341" i="1"/>
  <c r="V341" i="1"/>
  <c r="W341" i="1"/>
  <c r="U342" i="1"/>
  <c r="V342" i="1"/>
  <c r="W342" i="1"/>
  <c r="U343" i="1"/>
  <c r="V343" i="1"/>
  <c r="W343" i="1"/>
  <c r="U344" i="1"/>
  <c r="V344" i="1"/>
  <c r="W344" i="1"/>
  <c r="U345" i="1"/>
  <c r="V345" i="1"/>
  <c r="W345" i="1"/>
  <c r="U346" i="1"/>
  <c r="V346" i="1"/>
  <c r="U347" i="1"/>
  <c r="V347" i="1"/>
  <c r="W337" i="1"/>
  <c r="V337" i="1"/>
  <c r="U337" i="1"/>
  <c r="T346" i="1" l="1"/>
  <c r="T347" i="1"/>
  <c r="M349" i="1" l="1"/>
  <c r="M348" i="1" l="1"/>
  <c r="Z345" i="1"/>
  <c r="Z344" i="1"/>
  <c r="Z343" i="1" l="1"/>
  <c r="Z342" i="1"/>
  <c r="Z341" i="1" l="1"/>
  <c r="Z340" i="1"/>
  <c r="Z339" i="1" l="1"/>
  <c r="Z338" i="1"/>
  <c r="Z337" i="1"/>
  <c r="R347" i="1"/>
  <c r="S347" i="1"/>
  <c r="U349" i="1" l="1"/>
  <c r="V349" i="1"/>
  <c r="W349" i="1"/>
  <c r="U350" i="1"/>
  <c r="V350" i="1"/>
  <c r="W350" i="1"/>
  <c r="U351" i="1"/>
  <c r="V351" i="1"/>
  <c r="W351" i="1"/>
  <c r="U352" i="1"/>
  <c r="V352" i="1"/>
  <c r="W352" i="1"/>
  <c r="U353" i="1"/>
  <c r="V353" i="1"/>
  <c r="W353" i="1"/>
  <c r="U354" i="1"/>
  <c r="V354" i="1"/>
  <c r="W354" i="1"/>
  <c r="U355" i="1"/>
  <c r="V355" i="1"/>
  <c r="W355" i="1"/>
  <c r="W348" i="1" l="1"/>
  <c r="V348" i="1"/>
  <c r="U348" i="1"/>
  <c r="M347" i="1" l="1"/>
  <c r="M346" i="1" l="1"/>
  <c r="M345" i="1" l="1"/>
  <c r="M344" i="1" l="1"/>
  <c r="M343" i="1" l="1"/>
  <c r="M342" i="1"/>
  <c r="M341" i="1"/>
  <c r="M340" i="1"/>
  <c r="M339" i="1" l="1"/>
  <c r="M338" i="1"/>
  <c r="M337" i="1" l="1"/>
  <c r="R338" i="1" l="1"/>
  <c r="R337" i="1"/>
  <c r="S338" i="1"/>
  <c r="T338" i="1"/>
  <c r="R339" i="1"/>
  <c r="S339" i="1"/>
  <c r="T339" i="1"/>
  <c r="R340" i="1"/>
  <c r="S340" i="1"/>
  <c r="T340" i="1"/>
  <c r="R341" i="1"/>
  <c r="S341" i="1"/>
  <c r="T341" i="1"/>
  <c r="R342" i="1"/>
  <c r="S342" i="1"/>
  <c r="T342" i="1"/>
  <c r="R343" i="1"/>
  <c r="S343" i="1"/>
  <c r="T343" i="1"/>
  <c r="R344" i="1"/>
  <c r="S344" i="1"/>
  <c r="T344" i="1"/>
  <c r="R345" i="1"/>
  <c r="S345" i="1"/>
  <c r="T345" i="1"/>
  <c r="R346" i="1"/>
  <c r="S346" i="1"/>
  <c r="T337" i="1"/>
  <c r="S337" i="1"/>
  <c r="R333" i="1"/>
  <c r="S333" i="1"/>
  <c r="V336" i="1"/>
  <c r="V335" i="1"/>
  <c r="V334" i="1"/>
  <c r="V333" i="1"/>
  <c r="V332" i="1"/>
  <c r="M335" i="1" l="1"/>
  <c r="R335" i="1" l="1"/>
  <c r="S335" i="1"/>
  <c r="M336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U336" i="1"/>
  <c r="U335" i="1"/>
  <c r="U334" i="1"/>
  <c r="U333" i="1"/>
  <c r="U332" i="1"/>
  <c r="Z336" i="1"/>
  <c r="T336" i="1" s="1"/>
  <c r="Z335" i="1"/>
  <c r="T335" i="1" s="1"/>
  <c r="Z334" i="1"/>
  <c r="Z333" i="1"/>
  <c r="T333" i="1" s="1"/>
  <c r="S329" i="1"/>
  <c r="S327" i="1"/>
  <c r="S326" i="1"/>
  <c r="R329" i="1"/>
  <c r="R327" i="1"/>
  <c r="R326" i="1"/>
  <c r="S336" i="1" l="1"/>
  <c r="R336" i="1"/>
  <c r="M334" i="1"/>
  <c r="T334" i="1" s="1"/>
  <c r="R334" i="1" l="1"/>
  <c r="S334" i="1"/>
  <c r="Z332" i="1"/>
  <c r="M332" i="1" l="1"/>
  <c r="R332" i="1" l="1"/>
  <c r="S332" i="1"/>
  <c r="T332" i="1"/>
  <c r="Z331" i="1"/>
  <c r="M331" i="1"/>
  <c r="Z330" i="1"/>
  <c r="S331" i="1" l="1"/>
  <c r="R331" i="1"/>
  <c r="T331" i="1"/>
  <c r="M330" i="1"/>
  <c r="T330" i="1" s="1"/>
  <c r="R330" i="1" l="1"/>
  <c r="S330" i="1"/>
  <c r="U331" i="1"/>
  <c r="U330" i="1"/>
  <c r="U329" i="1"/>
  <c r="U328" i="1"/>
  <c r="U327" i="1"/>
  <c r="U326" i="1"/>
  <c r="Z329" i="1" l="1"/>
  <c r="T329" i="1" s="1"/>
  <c r="Z328" i="1"/>
  <c r="Z327" i="1"/>
  <c r="T327" i="1" s="1"/>
  <c r="Z326" i="1"/>
  <c r="T326" i="1" s="1"/>
  <c r="M328" i="1" l="1"/>
  <c r="S328" i="1" l="1"/>
  <c r="R328" i="1"/>
  <c r="T328" i="1"/>
  <c r="U325" i="1"/>
  <c r="U324" i="1"/>
  <c r="U323" i="1"/>
  <c r="U322" i="1"/>
  <c r="U321" i="1"/>
  <c r="U320" i="1"/>
  <c r="Z325" i="1"/>
  <c r="Z324" i="1"/>
  <c r="Z323" i="1"/>
  <c r="Z322" i="1"/>
  <c r="Z321" i="1"/>
  <c r="M325" i="1" l="1"/>
  <c r="S325" i="1" s="1"/>
  <c r="T325" i="1" l="1"/>
  <c r="R325" i="1"/>
  <c r="Z320" i="1"/>
  <c r="M324" i="1" l="1"/>
  <c r="S324" i="1" s="1"/>
  <c r="M323" i="1"/>
  <c r="R323" i="1" l="1"/>
  <c r="S323" i="1"/>
  <c r="T323" i="1"/>
  <c r="R324" i="1"/>
  <c r="T324" i="1"/>
  <c r="M322" i="1"/>
  <c r="S322" i="1" l="1"/>
  <c r="T322" i="1"/>
  <c r="R322" i="1"/>
  <c r="M321" i="1" l="1"/>
  <c r="M320" i="1"/>
  <c r="S320" i="1" l="1"/>
  <c r="T320" i="1"/>
  <c r="R321" i="1"/>
  <c r="S321" i="1"/>
  <c r="T321" i="1"/>
  <c r="R320" i="1"/>
  <c r="Z319" i="1" l="1"/>
  <c r="M319" i="1"/>
  <c r="Z318" i="1" l="1"/>
  <c r="Z317" i="1"/>
  <c r="R319" i="1"/>
  <c r="S319" i="1"/>
  <c r="T319" i="1"/>
  <c r="M318" i="1" l="1"/>
  <c r="M317" i="1" l="1"/>
  <c r="Z316" i="1" l="1"/>
  <c r="Z315" i="1"/>
  <c r="Z314" i="1"/>
  <c r="Z313" i="1"/>
  <c r="Z312" i="1"/>
  <c r="R318" i="1"/>
  <c r="S318" i="1"/>
  <c r="T318" i="1"/>
  <c r="M316" i="1" l="1"/>
  <c r="M314" i="1"/>
  <c r="M315" i="1" l="1"/>
  <c r="M313" i="1" l="1"/>
  <c r="M312" i="1" l="1"/>
  <c r="Z311" i="1"/>
  <c r="U319" i="1" l="1"/>
  <c r="U318" i="1"/>
  <c r="U317" i="1"/>
  <c r="U316" i="1"/>
  <c r="U315" i="1"/>
  <c r="U314" i="1"/>
  <c r="U313" i="1"/>
  <c r="U312" i="1"/>
  <c r="U311" i="1"/>
  <c r="Z310" i="1" l="1"/>
  <c r="Z309" i="1"/>
  <c r="Z308" i="1"/>
  <c r="Z307" i="1"/>
  <c r="Z306" i="1"/>
  <c r="M311" i="1"/>
  <c r="U310" i="1" l="1"/>
  <c r="M310" i="1" l="1"/>
  <c r="M309" i="1" l="1"/>
  <c r="M308" i="1"/>
  <c r="M307" i="1" l="1"/>
  <c r="M306" i="1"/>
  <c r="W310" i="1"/>
  <c r="W309" i="1"/>
  <c r="W308" i="1"/>
  <c r="W307" i="1"/>
  <c r="W306" i="1"/>
  <c r="W305" i="1"/>
  <c r="W304" i="1"/>
  <c r="W303" i="1"/>
  <c r="W302" i="1"/>
  <c r="U309" i="1"/>
  <c r="U308" i="1"/>
  <c r="U307" i="1"/>
  <c r="U306" i="1"/>
  <c r="U305" i="1"/>
  <c r="U304" i="1"/>
  <c r="U303" i="1"/>
  <c r="U302" i="1"/>
  <c r="V310" i="1"/>
  <c r="V309" i="1"/>
  <c r="V308" i="1"/>
  <c r="V307" i="1"/>
  <c r="V306" i="1"/>
  <c r="V305" i="1"/>
  <c r="V304" i="1"/>
  <c r="V303" i="1"/>
  <c r="V302" i="1"/>
  <c r="Z305" i="1"/>
  <c r="Z304" i="1" l="1"/>
  <c r="Z303" i="1"/>
  <c r="Z302" i="1"/>
  <c r="S305" i="1"/>
  <c r="M304" i="1"/>
  <c r="M303" i="1" l="1"/>
  <c r="W301" i="1" l="1"/>
  <c r="W300" i="1"/>
  <c r="W299" i="1"/>
  <c r="V301" i="1"/>
  <c r="V300" i="1"/>
  <c r="U301" i="1"/>
  <c r="U300" i="1"/>
  <c r="Z301" i="1"/>
  <c r="M301" i="1"/>
  <c r="Z300" i="1" l="1"/>
  <c r="M300" i="1" l="1"/>
  <c r="V299" i="1" l="1"/>
  <c r="U299" i="1"/>
  <c r="Z299" i="1" l="1"/>
  <c r="Z298" i="1"/>
  <c r="Z297" i="1"/>
  <c r="Z296" i="1"/>
  <c r="M299" i="1" l="1"/>
  <c r="M298" i="1" l="1"/>
  <c r="M297" i="1"/>
  <c r="M296" i="1" l="1"/>
  <c r="Z295" i="1"/>
  <c r="M295" i="1"/>
  <c r="M294" i="1" l="1"/>
  <c r="Z294" i="1" l="1"/>
  <c r="M293" i="1"/>
  <c r="Z293" i="1" l="1"/>
  <c r="Z292" i="1"/>
  <c r="M292" i="1"/>
  <c r="Z291" i="1" l="1"/>
  <c r="M291" i="1"/>
  <c r="M290" i="1" l="1"/>
  <c r="M289" i="1" l="1"/>
  <c r="M288" i="1"/>
  <c r="Z290" i="1" l="1"/>
  <c r="Z289" i="1"/>
  <c r="Z288" i="1"/>
  <c r="Z287" i="1"/>
  <c r="Z286" i="1"/>
  <c r="Z285" i="1"/>
  <c r="Z284" i="1"/>
  <c r="M287" i="1"/>
  <c r="M286" i="1" l="1"/>
  <c r="M285" i="1" l="1"/>
  <c r="Z283" i="1" l="1"/>
  <c r="M284" i="1"/>
  <c r="M283" i="1" l="1"/>
  <c r="Z282" i="1" l="1"/>
  <c r="M282" i="1"/>
  <c r="Z281" i="1" l="1"/>
  <c r="M281" i="1"/>
  <c r="M280" i="1" l="1"/>
  <c r="M279" i="1" l="1"/>
  <c r="M278" i="1"/>
  <c r="M277" i="1" l="1"/>
  <c r="M276" i="1" l="1"/>
  <c r="M275" i="1" l="1"/>
  <c r="Z280" i="1"/>
  <c r="Z279" i="1"/>
  <c r="Z278" i="1"/>
  <c r="Z277" i="1"/>
  <c r="Z276" i="1"/>
  <c r="T276" i="1" s="1"/>
  <c r="Z275" i="1"/>
  <c r="Z274" i="1"/>
  <c r="Z273" i="1"/>
  <c r="Z272" i="1"/>
  <c r="Z271" i="1"/>
  <c r="Z270" i="1"/>
  <c r="Z261" i="1"/>
  <c r="T275" i="1" l="1"/>
  <c r="Z269" i="1"/>
  <c r="M274" i="1" l="1"/>
  <c r="T274" i="1" s="1"/>
  <c r="M273" i="1"/>
  <c r="M272" i="1" l="1"/>
  <c r="M271" i="1" l="1"/>
  <c r="M270" i="1"/>
  <c r="M269" i="1" l="1"/>
  <c r="Z268" i="1" l="1"/>
  <c r="M268" i="1"/>
  <c r="Z267" i="1"/>
  <c r="M267" i="1"/>
  <c r="Z266" i="1"/>
  <c r="M266" i="1"/>
  <c r="Z265" i="1"/>
  <c r="Z264" i="1"/>
  <c r="M265" i="1"/>
  <c r="M264" i="1" l="1"/>
  <c r="M263" i="1" l="1"/>
  <c r="M262" i="1" l="1"/>
  <c r="Z263" i="1" l="1"/>
  <c r="M261" i="1" l="1"/>
  <c r="M259" i="1" l="1"/>
  <c r="M258" i="1" l="1"/>
  <c r="M132" i="1" l="1"/>
  <c r="M256" i="1" l="1"/>
  <c r="AG252" i="1" l="1"/>
  <c r="AF252" i="1"/>
  <c r="AE252" i="1"/>
  <c r="U254" i="1" l="1"/>
  <c r="M253" i="1" l="1"/>
  <c r="M252" i="1" l="1"/>
  <c r="AG251" i="1" l="1"/>
  <c r="AF251" i="1"/>
  <c r="AE251" i="1"/>
  <c r="M251" i="1" l="1"/>
  <c r="AG250" i="1"/>
  <c r="AF250" i="1"/>
  <c r="AE250" i="1"/>
  <c r="W230" i="1" l="1"/>
  <c r="M250" i="1" l="1"/>
  <c r="M249" i="1" l="1"/>
  <c r="M248" i="1" l="1"/>
  <c r="M246" i="1" l="1"/>
  <c r="M245" i="1" l="1"/>
  <c r="U216" i="1" l="1"/>
  <c r="U215" i="1"/>
  <c r="U214" i="1"/>
  <c r="U213" i="1"/>
  <c r="T317" i="1" l="1"/>
  <c r="S317" i="1"/>
  <c r="R317" i="1"/>
  <c r="T316" i="1"/>
  <c r="S316" i="1"/>
  <c r="R316" i="1"/>
  <c r="T315" i="1"/>
  <c r="S315" i="1"/>
  <c r="R315" i="1"/>
  <c r="T314" i="1"/>
  <c r="S314" i="1"/>
  <c r="R314" i="1"/>
  <c r="T313" i="1"/>
  <c r="S313" i="1"/>
  <c r="R313" i="1"/>
  <c r="T312" i="1"/>
  <c r="S312" i="1"/>
  <c r="R312" i="1"/>
  <c r="T311" i="1"/>
  <c r="S311" i="1"/>
  <c r="R311" i="1"/>
  <c r="T310" i="1"/>
  <c r="S310" i="1"/>
  <c r="R310" i="1"/>
  <c r="T309" i="1"/>
  <c r="S309" i="1"/>
  <c r="R309" i="1"/>
  <c r="T308" i="1"/>
  <c r="S308" i="1"/>
  <c r="R308" i="1"/>
  <c r="T307" i="1"/>
  <c r="S307" i="1"/>
  <c r="R307" i="1"/>
  <c r="T306" i="1"/>
  <c r="S306" i="1"/>
  <c r="R306" i="1"/>
  <c r="T305" i="1"/>
  <c r="R305" i="1"/>
  <c r="T304" i="1"/>
  <c r="S304" i="1"/>
  <c r="R304" i="1"/>
  <c r="T303" i="1"/>
  <c r="S303" i="1"/>
  <c r="R303" i="1"/>
  <c r="T302" i="1"/>
  <c r="S302" i="1"/>
  <c r="R302" i="1"/>
  <c r="T301" i="1"/>
  <c r="S301" i="1"/>
  <c r="R301" i="1"/>
  <c r="T300" i="1"/>
  <c r="S300" i="1"/>
  <c r="R300" i="1"/>
  <c r="T299" i="1"/>
  <c r="S299" i="1"/>
  <c r="R299" i="1"/>
  <c r="T298" i="1"/>
  <c r="S298" i="1"/>
  <c r="R298" i="1"/>
  <c r="T297" i="1"/>
  <c r="S297" i="1"/>
  <c r="R297" i="1"/>
  <c r="T296" i="1"/>
  <c r="S296" i="1"/>
  <c r="R296" i="1"/>
  <c r="T295" i="1"/>
  <c r="S295" i="1"/>
  <c r="R295" i="1"/>
  <c r="T294" i="1"/>
  <c r="S294" i="1"/>
  <c r="R294" i="1"/>
  <c r="T293" i="1"/>
  <c r="S293" i="1"/>
  <c r="R293" i="1"/>
  <c r="T292" i="1"/>
  <c r="S292" i="1"/>
  <c r="R292" i="1"/>
  <c r="T291" i="1"/>
  <c r="S291" i="1"/>
  <c r="R291" i="1"/>
  <c r="T290" i="1"/>
  <c r="S290" i="1"/>
  <c r="R290" i="1"/>
  <c r="T289" i="1"/>
  <c r="S289" i="1"/>
  <c r="R289" i="1"/>
  <c r="T288" i="1"/>
  <c r="S288" i="1"/>
  <c r="R288" i="1"/>
  <c r="T287" i="1"/>
  <c r="S287" i="1"/>
  <c r="R287" i="1"/>
  <c r="T286" i="1"/>
  <c r="S286" i="1"/>
  <c r="R286" i="1"/>
  <c r="T285" i="1"/>
  <c r="S285" i="1"/>
  <c r="R285" i="1"/>
  <c r="T284" i="1"/>
  <c r="S284" i="1"/>
  <c r="R284" i="1"/>
  <c r="T283" i="1"/>
  <c r="S283" i="1"/>
  <c r="R283" i="1"/>
  <c r="T282" i="1"/>
  <c r="S282" i="1"/>
  <c r="R282" i="1"/>
  <c r="T281" i="1"/>
  <c r="S281" i="1"/>
  <c r="R281" i="1"/>
  <c r="T280" i="1"/>
  <c r="S280" i="1"/>
  <c r="R280" i="1"/>
  <c r="T279" i="1"/>
  <c r="S279" i="1"/>
  <c r="R279" i="1"/>
  <c r="T278" i="1"/>
  <c r="S278" i="1"/>
  <c r="R278" i="1"/>
  <c r="T277" i="1"/>
  <c r="S277" i="1"/>
  <c r="R277" i="1"/>
  <c r="S276" i="1"/>
  <c r="R276" i="1"/>
  <c r="S275" i="1"/>
  <c r="R275" i="1"/>
  <c r="S274" i="1"/>
  <c r="R274" i="1"/>
  <c r="T273" i="1"/>
  <c r="S273" i="1"/>
  <c r="R273" i="1"/>
  <c r="T272" i="1"/>
  <c r="S272" i="1"/>
  <c r="R272" i="1"/>
  <c r="T271" i="1"/>
  <c r="S271" i="1"/>
  <c r="R271" i="1"/>
  <c r="T270" i="1"/>
  <c r="S270" i="1"/>
  <c r="R270" i="1"/>
  <c r="T269" i="1"/>
  <c r="S269" i="1"/>
  <c r="R269" i="1"/>
  <c r="T268" i="1"/>
  <c r="S268" i="1"/>
  <c r="R268" i="1"/>
  <c r="T267" i="1"/>
  <c r="S267" i="1"/>
  <c r="R267" i="1"/>
  <c r="T266" i="1"/>
  <c r="S266" i="1"/>
  <c r="R266" i="1"/>
  <c r="T265" i="1"/>
  <c r="S265" i="1"/>
  <c r="R265" i="1"/>
  <c r="T264" i="1"/>
  <c r="S264" i="1"/>
  <c r="R264" i="1"/>
  <c r="T263" i="1"/>
  <c r="S263" i="1"/>
  <c r="R263" i="1"/>
  <c r="S262" i="1"/>
  <c r="R262" i="1"/>
  <c r="S261" i="1"/>
  <c r="R261" i="1"/>
  <c r="S260" i="1"/>
  <c r="R260" i="1"/>
  <c r="S259" i="1"/>
  <c r="R259" i="1"/>
  <c r="S258" i="1"/>
  <c r="R258" i="1"/>
  <c r="S257" i="1"/>
  <c r="R257" i="1"/>
  <c r="S256" i="1"/>
  <c r="R256" i="1"/>
  <c r="S255" i="1"/>
  <c r="R255" i="1"/>
  <c r="S254" i="1"/>
  <c r="R254" i="1"/>
  <c r="S253" i="1"/>
  <c r="R253" i="1"/>
  <c r="S252" i="1"/>
  <c r="R252" i="1"/>
  <c r="S251" i="1"/>
  <c r="R251" i="1"/>
  <c r="S250" i="1"/>
  <c r="R250" i="1"/>
  <c r="S249" i="1"/>
  <c r="R249" i="1"/>
  <c r="S248" i="1"/>
  <c r="R248" i="1"/>
  <c r="S247" i="1"/>
  <c r="R247" i="1"/>
  <c r="S246" i="1"/>
  <c r="R246" i="1"/>
  <c r="S245" i="1"/>
  <c r="R245" i="1"/>
  <c r="S240" i="1"/>
  <c r="R240" i="1"/>
  <c r="S235" i="1"/>
  <c r="R235" i="1"/>
  <c r="S230" i="1"/>
  <c r="R230" i="1"/>
  <c r="S170" i="1"/>
  <c r="R170" i="1"/>
  <c r="S169" i="1"/>
  <c r="R169" i="1"/>
  <c r="S152" i="1"/>
  <c r="R152" i="1"/>
  <c r="M244" i="1" l="1"/>
  <c r="S244" i="1" l="1"/>
  <c r="R244" i="1"/>
  <c r="M243" i="1"/>
  <c r="S243" i="1" l="1"/>
  <c r="R243" i="1"/>
  <c r="M242" i="1"/>
  <c r="S242" i="1" l="1"/>
  <c r="R242" i="1"/>
  <c r="M241" i="1"/>
  <c r="AD237" i="1"/>
  <c r="R241" i="1" l="1"/>
  <c r="S241" i="1"/>
  <c r="W204" i="1"/>
  <c r="V204" i="1"/>
  <c r="U204" i="1"/>
  <c r="W203" i="1"/>
  <c r="V203" i="1"/>
  <c r="U203" i="1"/>
  <c r="W202" i="1"/>
  <c r="V202" i="1"/>
  <c r="U202" i="1"/>
  <c r="W201" i="1"/>
  <c r="V201" i="1"/>
  <c r="U201" i="1"/>
  <c r="W200" i="1"/>
  <c r="V200" i="1"/>
  <c r="U200" i="1"/>
  <c r="W199" i="1"/>
  <c r="V199" i="1"/>
  <c r="U199" i="1"/>
  <c r="W198" i="1"/>
  <c r="V198" i="1"/>
  <c r="U198" i="1"/>
  <c r="W197" i="1"/>
  <c r="V197" i="1"/>
  <c r="U197" i="1"/>
  <c r="W196" i="1"/>
  <c r="V196" i="1"/>
  <c r="U196" i="1"/>
  <c r="W195" i="1"/>
  <c r="V195" i="1"/>
  <c r="U195" i="1"/>
  <c r="W194" i="1"/>
  <c r="V194" i="1"/>
  <c r="U194" i="1"/>
  <c r="W193" i="1"/>
  <c r="V193" i="1"/>
  <c r="U193" i="1"/>
  <c r="W192" i="1"/>
  <c r="V192" i="1"/>
  <c r="U192" i="1"/>
  <c r="W191" i="1"/>
  <c r="V191" i="1"/>
  <c r="U191" i="1"/>
  <c r="W190" i="1"/>
  <c r="V190" i="1"/>
  <c r="U190" i="1"/>
  <c r="W189" i="1"/>
  <c r="V189" i="1"/>
  <c r="U189" i="1"/>
  <c r="W188" i="1"/>
  <c r="V188" i="1"/>
  <c r="U188" i="1"/>
  <c r="W187" i="1"/>
  <c r="V187" i="1"/>
  <c r="U187" i="1"/>
  <c r="W186" i="1"/>
  <c r="V186" i="1"/>
  <c r="U186" i="1"/>
  <c r="W185" i="1"/>
  <c r="V185" i="1"/>
  <c r="U185" i="1"/>
  <c r="W184" i="1"/>
  <c r="V184" i="1"/>
  <c r="U184" i="1"/>
  <c r="W183" i="1"/>
  <c r="V183" i="1"/>
  <c r="U183" i="1"/>
  <c r="W182" i="1"/>
  <c r="V182" i="1"/>
  <c r="U182" i="1"/>
  <c r="W181" i="1"/>
  <c r="V181" i="1"/>
  <c r="U181" i="1"/>
  <c r="W180" i="1"/>
  <c r="V180" i="1"/>
  <c r="U180" i="1"/>
  <c r="W179" i="1"/>
  <c r="V179" i="1"/>
  <c r="U179" i="1"/>
  <c r="W178" i="1"/>
  <c r="V178" i="1"/>
  <c r="U178" i="1"/>
  <c r="W177" i="1"/>
  <c r="V177" i="1"/>
  <c r="U177" i="1"/>
  <c r="W176" i="1"/>
  <c r="V176" i="1"/>
  <c r="U176" i="1"/>
  <c r="W175" i="1"/>
  <c r="V175" i="1"/>
  <c r="U175" i="1"/>
  <c r="W174" i="1"/>
  <c r="V174" i="1"/>
  <c r="U174" i="1"/>
  <c r="W173" i="1"/>
  <c r="V173" i="1"/>
  <c r="U173" i="1"/>
  <c r="W172" i="1"/>
  <c r="V172" i="1"/>
  <c r="U172" i="1"/>
  <c r="W171" i="1"/>
  <c r="V171" i="1"/>
  <c r="U171" i="1"/>
  <c r="W170" i="1"/>
  <c r="V170" i="1"/>
  <c r="U170" i="1"/>
  <c r="W169" i="1"/>
  <c r="V169" i="1"/>
  <c r="U169" i="1"/>
  <c r="W168" i="1"/>
  <c r="V168" i="1"/>
  <c r="U168" i="1"/>
  <c r="W167" i="1"/>
  <c r="V167" i="1"/>
  <c r="U167" i="1"/>
  <c r="W166" i="1"/>
  <c r="V166" i="1"/>
  <c r="U166" i="1"/>
  <c r="W165" i="1"/>
  <c r="V165" i="1"/>
  <c r="U165" i="1"/>
  <c r="W164" i="1"/>
  <c r="V164" i="1"/>
  <c r="U164" i="1"/>
  <c r="W163" i="1"/>
  <c r="V163" i="1"/>
  <c r="U163" i="1"/>
  <c r="W162" i="1"/>
  <c r="V162" i="1"/>
  <c r="U162" i="1"/>
  <c r="W161" i="1"/>
  <c r="V161" i="1"/>
  <c r="U161" i="1"/>
  <c r="W160" i="1"/>
  <c r="V160" i="1"/>
  <c r="U160" i="1"/>
  <c r="W159" i="1"/>
  <c r="V159" i="1"/>
  <c r="U159" i="1"/>
  <c r="W158" i="1"/>
  <c r="V158" i="1"/>
  <c r="U158" i="1"/>
  <c r="W157" i="1"/>
  <c r="V157" i="1"/>
  <c r="U157" i="1"/>
  <c r="W156" i="1"/>
  <c r="V156" i="1"/>
  <c r="U156" i="1"/>
  <c r="W155" i="1"/>
  <c r="V155" i="1"/>
  <c r="U155" i="1"/>
  <c r="W154" i="1"/>
  <c r="V154" i="1"/>
  <c r="U154" i="1"/>
  <c r="W153" i="1"/>
  <c r="V153" i="1"/>
  <c r="U153" i="1"/>
  <c r="W152" i="1"/>
  <c r="V152" i="1"/>
  <c r="U152" i="1"/>
  <c r="W151" i="1"/>
  <c r="V151" i="1"/>
  <c r="U151" i="1"/>
  <c r="W150" i="1"/>
  <c r="V150" i="1"/>
  <c r="U150" i="1"/>
  <c r="W149" i="1"/>
  <c r="V149" i="1"/>
  <c r="U149" i="1"/>
  <c r="W148" i="1"/>
  <c r="V148" i="1"/>
  <c r="U148" i="1"/>
  <c r="W147" i="1"/>
  <c r="V147" i="1"/>
  <c r="U147" i="1"/>
  <c r="W146" i="1"/>
  <c r="V146" i="1"/>
  <c r="U146" i="1"/>
  <c r="W145" i="1"/>
  <c r="V145" i="1"/>
  <c r="U145" i="1"/>
  <c r="W144" i="1"/>
  <c r="V144" i="1"/>
  <c r="U144" i="1"/>
  <c r="W143" i="1"/>
  <c r="V143" i="1"/>
  <c r="U143" i="1"/>
  <c r="W142" i="1"/>
  <c r="V142" i="1"/>
  <c r="U142" i="1"/>
  <c r="W141" i="1"/>
  <c r="V141" i="1"/>
  <c r="U141" i="1"/>
  <c r="W140" i="1"/>
  <c r="V140" i="1"/>
  <c r="U140" i="1"/>
  <c r="W139" i="1"/>
  <c r="V139" i="1"/>
  <c r="U139" i="1"/>
  <c r="W138" i="1"/>
  <c r="V138" i="1"/>
  <c r="U138" i="1"/>
  <c r="W137" i="1"/>
  <c r="V137" i="1"/>
  <c r="U137" i="1"/>
  <c r="W136" i="1"/>
  <c r="V136" i="1"/>
  <c r="U136" i="1"/>
  <c r="W135" i="1"/>
  <c r="V135" i="1"/>
  <c r="U135" i="1"/>
  <c r="W134" i="1"/>
  <c r="V134" i="1"/>
  <c r="U134" i="1"/>
  <c r="W133" i="1"/>
  <c r="V133" i="1"/>
  <c r="U133" i="1"/>
  <c r="W132" i="1"/>
  <c r="V132" i="1"/>
  <c r="U132" i="1"/>
  <c r="W131" i="1"/>
  <c r="V131" i="1"/>
  <c r="U131" i="1"/>
  <c r="W130" i="1"/>
  <c r="V130" i="1"/>
  <c r="U130" i="1"/>
  <c r="W129" i="1"/>
  <c r="V129" i="1"/>
  <c r="U129" i="1"/>
  <c r="W128" i="1"/>
  <c r="V128" i="1"/>
  <c r="U128" i="1"/>
  <c r="W127" i="1"/>
  <c r="V127" i="1"/>
  <c r="U127" i="1"/>
  <c r="W126" i="1"/>
  <c r="V126" i="1"/>
  <c r="U126" i="1"/>
  <c r="W125" i="1"/>
  <c r="V125" i="1"/>
  <c r="U125" i="1"/>
  <c r="W124" i="1"/>
  <c r="V124" i="1"/>
  <c r="U124" i="1"/>
  <c r="W123" i="1"/>
  <c r="V123" i="1"/>
  <c r="U123" i="1"/>
  <c r="W122" i="1"/>
  <c r="V122" i="1"/>
  <c r="U122" i="1"/>
  <c r="W121" i="1"/>
  <c r="V121" i="1"/>
  <c r="U121" i="1"/>
  <c r="W120" i="1"/>
  <c r="V120" i="1"/>
  <c r="U120" i="1"/>
  <c r="W119" i="1"/>
  <c r="V119" i="1"/>
  <c r="U119" i="1"/>
  <c r="W118" i="1"/>
  <c r="V118" i="1"/>
  <c r="U118" i="1"/>
  <c r="W117" i="1"/>
  <c r="V117" i="1"/>
  <c r="U117" i="1"/>
  <c r="W116" i="1"/>
  <c r="V116" i="1"/>
  <c r="U116" i="1"/>
  <c r="W115" i="1"/>
  <c r="V115" i="1"/>
  <c r="U115" i="1"/>
  <c r="W114" i="1"/>
  <c r="V114" i="1"/>
  <c r="U114" i="1"/>
  <c r="W113" i="1"/>
  <c r="V113" i="1"/>
  <c r="U113" i="1"/>
  <c r="W112" i="1"/>
  <c r="V112" i="1"/>
  <c r="U112" i="1"/>
  <c r="W111" i="1"/>
  <c r="V111" i="1"/>
  <c r="U111" i="1"/>
  <c r="W110" i="1"/>
  <c r="V110" i="1"/>
  <c r="U110" i="1"/>
  <c r="W109" i="1"/>
  <c r="V109" i="1"/>
  <c r="U109" i="1"/>
  <c r="W108" i="1"/>
  <c r="V108" i="1"/>
  <c r="U108" i="1"/>
  <c r="W107" i="1"/>
  <c r="V107" i="1"/>
  <c r="U107" i="1"/>
  <c r="W106" i="1"/>
  <c r="V106" i="1"/>
  <c r="U106" i="1"/>
  <c r="W105" i="1"/>
  <c r="V105" i="1"/>
  <c r="U105" i="1"/>
  <c r="W104" i="1"/>
  <c r="V104" i="1"/>
  <c r="U104" i="1"/>
  <c r="W103" i="1"/>
  <c r="V103" i="1"/>
  <c r="U103" i="1"/>
  <c r="W102" i="1"/>
  <c r="V102" i="1"/>
  <c r="U102" i="1"/>
  <c r="W101" i="1"/>
  <c r="V101" i="1"/>
  <c r="U101" i="1"/>
  <c r="W100" i="1"/>
  <c r="V100" i="1"/>
  <c r="U100" i="1"/>
  <c r="W99" i="1"/>
  <c r="V99" i="1"/>
  <c r="U99" i="1"/>
  <c r="W98" i="1"/>
  <c r="V98" i="1"/>
  <c r="U98" i="1"/>
  <c r="W97" i="1"/>
  <c r="V97" i="1"/>
  <c r="U97" i="1"/>
  <c r="W96" i="1"/>
  <c r="V96" i="1"/>
  <c r="U96" i="1"/>
  <c r="W95" i="1"/>
  <c r="V95" i="1"/>
  <c r="U95" i="1"/>
  <c r="W94" i="1"/>
  <c r="V94" i="1"/>
  <c r="U94" i="1"/>
  <c r="W93" i="1"/>
  <c r="V93" i="1"/>
  <c r="U93" i="1"/>
  <c r="W92" i="1"/>
  <c r="V92" i="1"/>
  <c r="U92" i="1"/>
  <c r="W91" i="1"/>
  <c r="V91" i="1"/>
  <c r="U91" i="1"/>
  <c r="W90" i="1"/>
  <c r="V90" i="1"/>
  <c r="U90" i="1"/>
  <c r="W89" i="1"/>
  <c r="V89" i="1"/>
  <c r="U89" i="1"/>
  <c r="W88" i="1"/>
  <c r="V88" i="1"/>
  <c r="U88" i="1"/>
  <c r="W87" i="1"/>
  <c r="V87" i="1"/>
  <c r="U87" i="1"/>
  <c r="W86" i="1"/>
  <c r="V86" i="1"/>
  <c r="U86" i="1"/>
  <c r="W85" i="1"/>
  <c r="V85" i="1"/>
  <c r="U85" i="1"/>
  <c r="W84" i="1"/>
  <c r="V84" i="1"/>
  <c r="U84" i="1"/>
  <c r="W83" i="1"/>
  <c r="V83" i="1"/>
  <c r="U83" i="1"/>
  <c r="W82" i="1"/>
  <c r="V82" i="1"/>
  <c r="U82" i="1"/>
  <c r="W81" i="1"/>
  <c r="V81" i="1"/>
  <c r="U81" i="1"/>
  <c r="W80" i="1"/>
  <c r="V80" i="1"/>
  <c r="U80" i="1"/>
  <c r="W79" i="1"/>
  <c r="V79" i="1"/>
  <c r="U79" i="1"/>
  <c r="W78" i="1"/>
  <c r="V78" i="1"/>
  <c r="U78" i="1"/>
  <c r="W77" i="1"/>
  <c r="V77" i="1"/>
  <c r="U77" i="1"/>
  <c r="W76" i="1"/>
  <c r="V76" i="1"/>
  <c r="U76" i="1"/>
  <c r="W75" i="1"/>
  <c r="V75" i="1"/>
  <c r="U75" i="1"/>
  <c r="W74" i="1"/>
  <c r="V74" i="1"/>
  <c r="U74" i="1"/>
  <c r="W73" i="1"/>
  <c r="V73" i="1"/>
  <c r="U73" i="1"/>
  <c r="W72" i="1"/>
  <c r="V72" i="1"/>
  <c r="U72" i="1"/>
  <c r="W71" i="1"/>
  <c r="V71" i="1"/>
  <c r="U71" i="1"/>
  <c r="W70" i="1"/>
  <c r="V70" i="1"/>
  <c r="U70" i="1"/>
  <c r="W69" i="1"/>
  <c r="V69" i="1"/>
  <c r="U69" i="1"/>
  <c r="W68" i="1"/>
  <c r="V68" i="1"/>
  <c r="U68" i="1"/>
  <c r="W67" i="1"/>
  <c r="V67" i="1"/>
  <c r="U67" i="1"/>
  <c r="W66" i="1"/>
  <c r="V66" i="1"/>
  <c r="U66" i="1"/>
  <c r="W65" i="1"/>
  <c r="V65" i="1"/>
  <c r="U65" i="1"/>
  <c r="W64" i="1"/>
  <c r="V64" i="1"/>
  <c r="U64" i="1"/>
  <c r="W63" i="1"/>
  <c r="V63" i="1"/>
  <c r="U63" i="1"/>
  <c r="W62" i="1"/>
  <c r="V62" i="1"/>
  <c r="U62" i="1"/>
  <c r="W61" i="1"/>
  <c r="V61" i="1"/>
  <c r="U61" i="1"/>
  <c r="W60" i="1"/>
  <c r="V60" i="1"/>
  <c r="U60" i="1"/>
  <c r="W59" i="1"/>
  <c r="V59" i="1"/>
  <c r="U59" i="1"/>
  <c r="W58" i="1"/>
  <c r="V58" i="1"/>
  <c r="U58" i="1"/>
  <c r="W57" i="1"/>
  <c r="V57" i="1"/>
  <c r="U57" i="1"/>
  <c r="W56" i="1"/>
  <c r="V56" i="1"/>
  <c r="U56" i="1"/>
  <c r="W55" i="1"/>
  <c r="V55" i="1"/>
  <c r="U55" i="1"/>
  <c r="W54" i="1"/>
  <c r="V54" i="1"/>
  <c r="U54" i="1"/>
  <c r="W53" i="1"/>
  <c r="V53" i="1"/>
  <c r="U53" i="1"/>
  <c r="W52" i="1"/>
  <c r="V52" i="1"/>
  <c r="U52" i="1"/>
  <c r="W51" i="1"/>
  <c r="V51" i="1"/>
  <c r="U51" i="1"/>
  <c r="W50" i="1"/>
  <c r="V50" i="1"/>
  <c r="U50" i="1"/>
  <c r="W49" i="1"/>
  <c r="V49" i="1"/>
  <c r="U49" i="1"/>
  <c r="W48" i="1"/>
  <c r="V48" i="1"/>
  <c r="U48" i="1"/>
  <c r="W47" i="1"/>
  <c r="V47" i="1"/>
  <c r="U47" i="1"/>
  <c r="W46" i="1"/>
  <c r="V46" i="1"/>
  <c r="U46" i="1"/>
  <c r="W45" i="1"/>
  <c r="V45" i="1"/>
  <c r="U45" i="1"/>
  <c r="W44" i="1"/>
  <c r="V44" i="1"/>
  <c r="U44" i="1"/>
  <c r="W43" i="1"/>
  <c r="V43" i="1"/>
  <c r="U43" i="1"/>
  <c r="W42" i="1"/>
  <c r="V42" i="1"/>
  <c r="U42" i="1"/>
  <c r="W41" i="1"/>
  <c r="V41" i="1"/>
  <c r="U41" i="1"/>
  <c r="W40" i="1"/>
  <c r="V40" i="1"/>
  <c r="U40" i="1"/>
  <c r="W39" i="1"/>
  <c r="V39" i="1"/>
  <c r="U39" i="1"/>
  <c r="W38" i="1"/>
  <c r="V38" i="1"/>
  <c r="U38" i="1"/>
  <c r="W37" i="1"/>
  <c r="V37" i="1"/>
  <c r="U37" i="1"/>
  <c r="W36" i="1"/>
  <c r="V36" i="1"/>
  <c r="U36" i="1"/>
  <c r="W35" i="1"/>
  <c r="V35" i="1"/>
  <c r="U35" i="1"/>
  <c r="W34" i="1"/>
  <c r="V34" i="1"/>
  <c r="U34" i="1"/>
  <c r="W33" i="1"/>
  <c r="V33" i="1"/>
  <c r="U33" i="1"/>
  <c r="W32" i="1"/>
  <c r="V32" i="1"/>
  <c r="U32" i="1"/>
  <c r="W31" i="1"/>
  <c r="V31" i="1"/>
  <c r="U31" i="1"/>
  <c r="W30" i="1"/>
  <c r="V30" i="1"/>
  <c r="U30" i="1"/>
  <c r="W29" i="1"/>
  <c r="V29" i="1"/>
  <c r="U29" i="1"/>
  <c r="W28" i="1"/>
  <c r="V28" i="1"/>
  <c r="U28" i="1"/>
  <c r="W27" i="1"/>
  <c r="V27" i="1"/>
  <c r="U27" i="1"/>
  <c r="W26" i="1"/>
  <c r="V26" i="1"/>
  <c r="U26" i="1"/>
  <c r="W25" i="1"/>
  <c r="V25" i="1"/>
  <c r="U25" i="1"/>
  <c r="W24" i="1"/>
  <c r="V24" i="1"/>
  <c r="U24" i="1"/>
  <c r="W23" i="1"/>
  <c r="V23" i="1"/>
  <c r="U23" i="1"/>
  <c r="W22" i="1"/>
  <c r="V22" i="1"/>
  <c r="U22" i="1"/>
  <c r="W21" i="1"/>
  <c r="V21" i="1"/>
  <c r="U21" i="1"/>
  <c r="W20" i="1"/>
  <c r="V20" i="1"/>
  <c r="U20" i="1"/>
  <c r="W19" i="1"/>
  <c r="V19" i="1"/>
  <c r="U19" i="1"/>
  <c r="W18" i="1"/>
  <c r="V18" i="1"/>
  <c r="U18" i="1"/>
  <c r="W17" i="1"/>
  <c r="V17" i="1"/>
  <c r="U17" i="1"/>
  <c r="W16" i="1"/>
  <c r="V16" i="1"/>
  <c r="U16" i="1"/>
  <c r="W15" i="1"/>
  <c r="V15" i="1"/>
  <c r="U15" i="1"/>
  <c r="W14" i="1"/>
  <c r="V14" i="1"/>
  <c r="U14" i="1"/>
  <c r="W13" i="1"/>
  <c r="V13" i="1"/>
  <c r="U13" i="1"/>
  <c r="W12" i="1"/>
  <c r="V12" i="1"/>
  <c r="U12" i="1"/>
  <c r="W11" i="1"/>
  <c r="V11" i="1"/>
  <c r="U11" i="1"/>
  <c r="W10" i="1"/>
  <c r="V10" i="1"/>
  <c r="U10" i="1"/>
  <c r="W9" i="1"/>
  <c r="V9" i="1"/>
  <c r="U9" i="1"/>
  <c r="W8" i="1"/>
  <c r="V8" i="1"/>
  <c r="U8" i="1"/>
  <c r="W7" i="1"/>
  <c r="V7" i="1"/>
  <c r="U7" i="1"/>
  <c r="W6" i="1"/>
  <c r="V6" i="1"/>
  <c r="U6" i="1"/>
  <c r="W5" i="1"/>
  <c r="V5" i="1"/>
  <c r="U5" i="1"/>
  <c r="W4" i="1"/>
  <c r="V4" i="1"/>
  <c r="U4" i="1"/>
  <c r="W205" i="1"/>
  <c r="V205" i="1"/>
  <c r="U205" i="1"/>
  <c r="W229" i="1"/>
  <c r="V229" i="1"/>
  <c r="U229" i="1"/>
  <c r="W228" i="1"/>
  <c r="V228" i="1"/>
  <c r="U228" i="1"/>
  <c r="W227" i="1"/>
  <c r="V227" i="1"/>
  <c r="U227" i="1"/>
  <c r="W226" i="1"/>
  <c r="V226" i="1"/>
  <c r="U226" i="1"/>
  <c r="W225" i="1"/>
  <c r="V225" i="1"/>
  <c r="U225" i="1"/>
  <c r="W224" i="1"/>
  <c r="V224" i="1"/>
  <c r="U224" i="1"/>
  <c r="W223" i="1"/>
  <c r="V223" i="1"/>
  <c r="U223" i="1"/>
  <c r="W222" i="1"/>
  <c r="V222" i="1"/>
  <c r="U222" i="1"/>
  <c r="W221" i="1"/>
  <c r="V221" i="1"/>
  <c r="U221" i="1"/>
  <c r="W220" i="1"/>
  <c r="V220" i="1"/>
  <c r="U220" i="1"/>
  <c r="W219" i="1"/>
  <c r="V219" i="1"/>
  <c r="U219" i="1"/>
  <c r="W218" i="1"/>
  <c r="V218" i="1"/>
  <c r="U218" i="1"/>
  <c r="W217" i="1"/>
  <c r="V217" i="1"/>
  <c r="U217" i="1"/>
  <c r="W216" i="1"/>
  <c r="V216" i="1"/>
  <c r="W215" i="1"/>
  <c r="V215" i="1"/>
  <c r="W214" i="1"/>
  <c r="V214" i="1"/>
  <c r="W213" i="1"/>
  <c r="V213" i="1"/>
  <c r="W212" i="1"/>
  <c r="V212" i="1"/>
  <c r="U212" i="1"/>
  <c r="W211" i="1"/>
  <c r="V211" i="1"/>
  <c r="U211" i="1"/>
  <c r="W210" i="1"/>
  <c r="V210" i="1"/>
  <c r="U210" i="1"/>
  <c r="W209" i="1"/>
  <c r="V209" i="1"/>
  <c r="U209" i="1"/>
  <c r="W208" i="1"/>
  <c r="V208" i="1"/>
  <c r="U208" i="1"/>
  <c r="W207" i="1"/>
  <c r="V207" i="1"/>
  <c r="U207" i="1"/>
  <c r="W206" i="1"/>
  <c r="V206" i="1"/>
  <c r="U206" i="1"/>
  <c r="W298" i="1"/>
  <c r="V298" i="1"/>
  <c r="U298" i="1"/>
  <c r="W297" i="1"/>
  <c r="V297" i="1"/>
  <c r="U297" i="1"/>
  <c r="W296" i="1"/>
  <c r="V296" i="1"/>
  <c r="U296" i="1"/>
  <c r="W295" i="1"/>
  <c r="V295" i="1"/>
  <c r="U295" i="1"/>
  <c r="W294" i="1"/>
  <c r="V294" i="1"/>
  <c r="U294" i="1"/>
  <c r="W293" i="1"/>
  <c r="V293" i="1"/>
  <c r="U293" i="1"/>
  <c r="W292" i="1"/>
  <c r="V292" i="1"/>
  <c r="U292" i="1"/>
  <c r="W291" i="1"/>
  <c r="V291" i="1"/>
  <c r="U291" i="1"/>
  <c r="W290" i="1"/>
  <c r="V290" i="1"/>
  <c r="U290" i="1"/>
  <c r="W289" i="1"/>
  <c r="V289" i="1"/>
  <c r="U289" i="1"/>
  <c r="W288" i="1"/>
  <c r="V288" i="1"/>
  <c r="U288" i="1"/>
  <c r="W287" i="1"/>
  <c r="V287" i="1"/>
  <c r="U287" i="1"/>
  <c r="W286" i="1"/>
  <c r="V286" i="1"/>
  <c r="U286" i="1"/>
  <c r="W285" i="1"/>
  <c r="V285" i="1"/>
  <c r="U285" i="1"/>
  <c r="W284" i="1"/>
  <c r="V284" i="1"/>
  <c r="U284" i="1"/>
  <c r="W283" i="1"/>
  <c r="V283" i="1"/>
  <c r="U283" i="1"/>
  <c r="W282" i="1"/>
  <c r="V282" i="1"/>
  <c r="U282" i="1"/>
  <c r="W281" i="1"/>
  <c r="V281" i="1"/>
  <c r="U281" i="1"/>
  <c r="W280" i="1"/>
  <c r="V280" i="1"/>
  <c r="U280" i="1"/>
  <c r="W279" i="1"/>
  <c r="V279" i="1"/>
  <c r="U279" i="1"/>
  <c r="W278" i="1"/>
  <c r="V278" i="1"/>
  <c r="U278" i="1"/>
  <c r="W277" i="1"/>
  <c r="V277" i="1"/>
  <c r="U277" i="1"/>
  <c r="W276" i="1"/>
  <c r="V276" i="1"/>
  <c r="U276" i="1"/>
  <c r="W275" i="1"/>
  <c r="V275" i="1"/>
  <c r="U275" i="1"/>
  <c r="W274" i="1"/>
  <c r="V274" i="1"/>
  <c r="U274" i="1"/>
  <c r="W273" i="1"/>
  <c r="V273" i="1"/>
  <c r="U273" i="1"/>
  <c r="W272" i="1"/>
  <c r="V272" i="1"/>
  <c r="U272" i="1"/>
  <c r="W271" i="1"/>
  <c r="V271" i="1"/>
  <c r="U271" i="1"/>
  <c r="W270" i="1"/>
  <c r="V270" i="1"/>
  <c r="U270" i="1"/>
  <c r="W269" i="1"/>
  <c r="V269" i="1"/>
  <c r="U269" i="1"/>
  <c r="W268" i="1"/>
  <c r="V268" i="1"/>
  <c r="U268" i="1"/>
  <c r="W267" i="1"/>
  <c r="V267" i="1"/>
  <c r="U267" i="1"/>
  <c r="W266" i="1"/>
  <c r="V266" i="1"/>
  <c r="U266" i="1"/>
  <c r="W265" i="1"/>
  <c r="V265" i="1"/>
  <c r="U265" i="1"/>
  <c r="W264" i="1"/>
  <c r="V264" i="1"/>
  <c r="U264" i="1"/>
  <c r="W263" i="1"/>
  <c r="V263" i="1"/>
  <c r="U263" i="1"/>
  <c r="W262" i="1"/>
  <c r="V262" i="1"/>
  <c r="U262" i="1"/>
  <c r="W261" i="1"/>
  <c r="V261" i="1"/>
  <c r="U261" i="1"/>
  <c r="W260" i="1"/>
  <c r="V260" i="1"/>
  <c r="U260" i="1"/>
  <c r="W259" i="1"/>
  <c r="V259" i="1"/>
  <c r="U259" i="1"/>
  <c r="W258" i="1"/>
  <c r="V258" i="1"/>
  <c r="U258" i="1"/>
  <c r="W257" i="1"/>
  <c r="V257" i="1"/>
  <c r="U257" i="1"/>
  <c r="W256" i="1"/>
  <c r="V256" i="1"/>
  <c r="U256" i="1"/>
  <c r="W255" i="1"/>
  <c r="V255" i="1"/>
  <c r="U255" i="1"/>
  <c r="W254" i="1"/>
  <c r="V254" i="1"/>
  <c r="W253" i="1"/>
  <c r="V253" i="1"/>
  <c r="U253" i="1"/>
  <c r="W252" i="1"/>
  <c r="V252" i="1"/>
  <c r="U252" i="1"/>
  <c r="W251" i="1"/>
  <c r="V251" i="1"/>
  <c r="U251" i="1"/>
  <c r="W250" i="1"/>
  <c r="V250" i="1"/>
  <c r="U250" i="1"/>
  <c r="W249" i="1"/>
  <c r="V249" i="1"/>
  <c r="U249" i="1"/>
  <c r="W248" i="1"/>
  <c r="V248" i="1"/>
  <c r="U248" i="1"/>
  <c r="W247" i="1"/>
  <c r="V247" i="1"/>
  <c r="U247" i="1"/>
  <c r="W246" i="1"/>
  <c r="V246" i="1"/>
  <c r="U246" i="1"/>
  <c r="W245" i="1"/>
  <c r="V245" i="1"/>
  <c r="U245" i="1"/>
  <c r="W244" i="1"/>
  <c r="V244" i="1"/>
  <c r="U244" i="1"/>
  <c r="W243" i="1"/>
  <c r="V243" i="1"/>
  <c r="U243" i="1"/>
  <c r="W242" i="1"/>
  <c r="V242" i="1"/>
  <c r="U242" i="1"/>
  <c r="W241" i="1"/>
  <c r="V241" i="1"/>
  <c r="U241" i="1"/>
  <c r="W240" i="1"/>
  <c r="V240" i="1"/>
  <c r="U240" i="1"/>
  <c r="W239" i="1"/>
  <c r="V239" i="1"/>
  <c r="U239" i="1"/>
  <c r="W238" i="1"/>
  <c r="V238" i="1"/>
  <c r="U238" i="1"/>
  <c r="W237" i="1"/>
  <c r="V237" i="1"/>
  <c r="U237" i="1"/>
  <c r="W236" i="1"/>
  <c r="V236" i="1"/>
  <c r="U236" i="1"/>
  <c r="W235" i="1"/>
  <c r="V235" i="1"/>
  <c r="U235" i="1"/>
  <c r="W234" i="1"/>
  <c r="V234" i="1"/>
  <c r="U234" i="1"/>
  <c r="W233" i="1"/>
  <c r="V233" i="1"/>
  <c r="U233" i="1"/>
  <c r="W232" i="1"/>
  <c r="V232" i="1"/>
  <c r="U232" i="1"/>
  <c r="W231" i="1"/>
  <c r="V231" i="1"/>
  <c r="U231" i="1"/>
  <c r="V230" i="1"/>
  <c r="U230" i="1"/>
  <c r="AL229" i="1"/>
  <c r="Y239" i="1" l="1"/>
  <c r="M239" i="1" l="1"/>
  <c r="R239" i="1" s="1"/>
  <c r="S239" i="1" l="1"/>
  <c r="M238" i="1"/>
  <c r="R238" i="1" l="1"/>
  <c r="S238" i="1"/>
  <c r="M237" i="1"/>
  <c r="M236" i="1"/>
  <c r="S237" i="1" l="1"/>
  <c r="R237" i="1"/>
  <c r="R236" i="1"/>
  <c r="S236" i="1"/>
  <c r="M234" i="1"/>
  <c r="S234" i="1" l="1"/>
  <c r="R234" i="1"/>
  <c r="M233" i="1"/>
  <c r="S233" i="1" l="1"/>
  <c r="R233" i="1"/>
  <c r="M232" i="1"/>
  <c r="M231" i="1"/>
  <c r="S231" i="1" l="1"/>
  <c r="R231" i="1"/>
  <c r="S232" i="1"/>
  <c r="R232" i="1"/>
  <c r="M229" i="1"/>
  <c r="S229" i="1" l="1"/>
  <c r="R229" i="1"/>
  <c r="M228" i="1"/>
  <c r="S228" i="1" l="1"/>
  <c r="R228" i="1"/>
  <c r="H227" i="1"/>
  <c r="M227" i="1"/>
  <c r="M226" i="1"/>
  <c r="H226" i="1"/>
  <c r="S226" i="1" l="1"/>
  <c r="R226" i="1"/>
  <c r="S227" i="1"/>
  <c r="R227" i="1"/>
  <c r="Y224" i="1"/>
  <c r="Y225" i="1"/>
  <c r="Z225" i="1" s="1"/>
  <c r="M224" i="1"/>
  <c r="R224" i="1" s="1"/>
  <c r="S224" i="1" l="1"/>
  <c r="M225" i="1"/>
  <c r="R225" i="1" s="1"/>
  <c r="S225" i="1" l="1"/>
  <c r="AG249" i="1"/>
  <c r="AF249" i="1"/>
  <c r="AE249" i="1"/>
  <c r="AG248" i="1"/>
  <c r="AF248" i="1"/>
  <c r="AE248" i="1"/>
  <c r="AG247" i="1"/>
  <c r="AF247" i="1"/>
  <c r="AE247" i="1"/>
  <c r="AG246" i="1"/>
  <c r="AF246" i="1"/>
  <c r="AE246" i="1"/>
  <c r="AG245" i="1"/>
  <c r="AF245" i="1"/>
  <c r="AE245" i="1"/>
  <c r="AG244" i="1"/>
  <c r="AF244" i="1"/>
  <c r="AE244" i="1"/>
  <c r="AG243" i="1"/>
  <c r="AF243" i="1"/>
  <c r="AE243" i="1"/>
  <c r="AG242" i="1"/>
  <c r="AF242" i="1"/>
  <c r="AE242" i="1"/>
  <c r="AG241" i="1"/>
  <c r="AF241" i="1"/>
  <c r="AE241" i="1"/>
  <c r="AG240" i="1"/>
  <c r="AF240" i="1"/>
  <c r="AE240" i="1"/>
  <c r="AG239" i="1"/>
  <c r="AF239" i="1"/>
  <c r="AE239" i="1"/>
  <c r="AG238" i="1"/>
  <c r="AF238" i="1"/>
  <c r="AE238" i="1"/>
  <c r="AG237" i="1"/>
  <c r="AF237" i="1"/>
  <c r="AE237" i="1"/>
  <c r="AG236" i="1"/>
  <c r="AF236" i="1"/>
  <c r="AE236" i="1"/>
  <c r="AG235" i="1"/>
  <c r="AF235" i="1"/>
  <c r="AE235" i="1"/>
  <c r="AG234" i="1"/>
  <c r="AF234" i="1"/>
  <c r="AE234" i="1"/>
  <c r="AG233" i="1"/>
  <c r="AF233" i="1"/>
  <c r="AE233" i="1"/>
  <c r="AG232" i="1"/>
  <c r="AF232" i="1"/>
  <c r="AE232" i="1"/>
  <c r="AG231" i="1"/>
  <c r="AF231" i="1"/>
  <c r="AE231" i="1"/>
  <c r="AG230" i="1"/>
  <c r="AF230" i="1"/>
  <c r="AE230" i="1"/>
  <c r="AG229" i="1"/>
  <c r="AF229" i="1"/>
  <c r="AE229" i="1"/>
  <c r="AG228" i="1"/>
  <c r="AF228" i="1"/>
  <c r="AE228" i="1"/>
  <c r="AG227" i="1"/>
  <c r="AF227" i="1"/>
  <c r="AE227" i="1"/>
  <c r="AG226" i="1"/>
  <c r="AF226" i="1"/>
  <c r="AE226" i="1"/>
  <c r="AG225" i="1"/>
  <c r="AF225" i="1"/>
  <c r="AE225" i="1"/>
  <c r="AG224" i="1"/>
  <c r="AF224" i="1"/>
  <c r="AE224" i="1"/>
  <c r="AG223" i="1"/>
  <c r="AF223" i="1"/>
  <c r="AE223" i="1"/>
  <c r="AG222" i="1"/>
  <c r="AF222" i="1"/>
  <c r="AE222" i="1"/>
  <c r="AG221" i="1"/>
  <c r="AF221" i="1"/>
  <c r="AE221" i="1"/>
  <c r="AG220" i="1"/>
  <c r="AF220" i="1"/>
  <c r="AE220" i="1"/>
  <c r="AG219" i="1"/>
  <c r="AF219" i="1"/>
  <c r="AE219" i="1"/>
  <c r="AG218" i="1"/>
  <c r="AF218" i="1"/>
  <c r="AE218" i="1"/>
  <c r="AG217" i="1"/>
  <c r="AF217" i="1"/>
  <c r="AE217" i="1"/>
  <c r="AG216" i="1"/>
  <c r="AF216" i="1"/>
  <c r="AE216" i="1"/>
  <c r="AG215" i="1"/>
  <c r="AF215" i="1"/>
  <c r="AE215" i="1"/>
  <c r="AG214" i="1"/>
  <c r="AF214" i="1"/>
  <c r="AE214" i="1"/>
  <c r="AG213" i="1"/>
  <c r="AF213" i="1"/>
  <c r="AE213" i="1"/>
  <c r="AG212" i="1"/>
  <c r="AF212" i="1"/>
  <c r="AE212" i="1"/>
  <c r="AG211" i="1"/>
  <c r="AF211" i="1"/>
  <c r="AE211" i="1"/>
  <c r="AG210" i="1"/>
  <c r="AF210" i="1"/>
  <c r="AE210" i="1"/>
  <c r="AG209" i="1"/>
  <c r="AF209" i="1"/>
  <c r="AE209" i="1"/>
  <c r="AG208" i="1"/>
  <c r="AF208" i="1"/>
  <c r="AE208" i="1"/>
  <c r="AG207" i="1"/>
  <c r="AF207" i="1"/>
  <c r="AE207" i="1"/>
  <c r="AG206" i="1"/>
  <c r="AF206" i="1"/>
  <c r="AE206" i="1"/>
  <c r="AG205" i="1"/>
  <c r="AF205" i="1"/>
  <c r="AE205" i="1"/>
  <c r="AG204" i="1"/>
  <c r="AF204" i="1"/>
  <c r="AE204" i="1"/>
  <c r="AG203" i="1"/>
  <c r="AF203" i="1"/>
  <c r="AE203" i="1"/>
  <c r="AG202" i="1"/>
  <c r="AF202" i="1"/>
  <c r="AE202" i="1"/>
  <c r="AG201" i="1"/>
  <c r="AF201" i="1"/>
  <c r="AE201" i="1"/>
  <c r="AG200" i="1"/>
  <c r="AF200" i="1"/>
  <c r="AE200" i="1"/>
  <c r="AG199" i="1"/>
  <c r="AF199" i="1"/>
  <c r="AE199" i="1"/>
  <c r="AG198" i="1"/>
  <c r="AF198" i="1"/>
  <c r="AE198" i="1"/>
  <c r="AG197" i="1"/>
  <c r="AF197" i="1"/>
  <c r="AE197" i="1"/>
  <c r="AG196" i="1"/>
  <c r="AF196" i="1"/>
  <c r="AE196" i="1"/>
  <c r="AG195" i="1"/>
  <c r="AF195" i="1"/>
  <c r="AE195" i="1"/>
  <c r="AG194" i="1"/>
  <c r="AF194" i="1"/>
  <c r="AE194" i="1"/>
  <c r="AG193" i="1"/>
  <c r="AF193" i="1"/>
  <c r="AE193" i="1"/>
  <c r="AG192" i="1"/>
  <c r="AF192" i="1"/>
  <c r="AE192" i="1"/>
  <c r="AG191" i="1"/>
  <c r="AF191" i="1"/>
  <c r="AE191" i="1"/>
  <c r="AG190" i="1"/>
  <c r="AF190" i="1"/>
  <c r="AE190" i="1"/>
  <c r="AG189" i="1"/>
  <c r="AF189" i="1"/>
  <c r="AE189" i="1"/>
  <c r="AG188" i="1"/>
  <c r="AF188" i="1"/>
  <c r="AE188" i="1"/>
  <c r="AG187" i="1"/>
  <c r="AF187" i="1"/>
  <c r="AE187" i="1"/>
  <c r="AG186" i="1"/>
  <c r="AF186" i="1"/>
  <c r="AE186" i="1"/>
  <c r="AG185" i="1"/>
  <c r="AF185" i="1"/>
  <c r="AE185" i="1"/>
  <c r="AG184" i="1"/>
  <c r="AF184" i="1"/>
  <c r="AE184" i="1"/>
  <c r="AG183" i="1"/>
  <c r="AF183" i="1"/>
  <c r="AE183" i="1"/>
  <c r="AG182" i="1"/>
  <c r="AF182" i="1"/>
  <c r="AE182" i="1"/>
  <c r="AG181" i="1"/>
  <c r="AF181" i="1"/>
  <c r="AE181" i="1"/>
  <c r="AG180" i="1"/>
  <c r="AF180" i="1"/>
  <c r="AE180" i="1"/>
  <c r="AG179" i="1"/>
  <c r="AF179" i="1"/>
  <c r="AE179" i="1"/>
  <c r="AG178" i="1"/>
  <c r="AF178" i="1"/>
  <c r="AE178" i="1"/>
  <c r="AG177" i="1"/>
  <c r="AF177" i="1"/>
  <c r="AE177" i="1"/>
  <c r="AG176" i="1"/>
  <c r="AF176" i="1"/>
  <c r="AE176" i="1"/>
  <c r="AG175" i="1"/>
  <c r="AF175" i="1"/>
  <c r="AE175" i="1"/>
  <c r="AG174" i="1"/>
  <c r="AF174" i="1"/>
  <c r="AE174" i="1"/>
  <c r="AG173" i="1"/>
  <c r="AF173" i="1"/>
  <c r="AE173" i="1"/>
  <c r="AG172" i="1"/>
  <c r="AF172" i="1"/>
  <c r="AE172" i="1"/>
  <c r="AG171" i="1"/>
  <c r="AF171" i="1"/>
  <c r="AE171" i="1"/>
  <c r="AG170" i="1"/>
  <c r="AF170" i="1"/>
  <c r="AE170" i="1"/>
  <c r="AG169" i="1"/>
  <c r="AF169" i="1"/>
  <c r="AE169" i="1"/>
  <c r="AG168" i="1"/>
  <c r="AF168" i="1"/>
  <c r="AE168" i="1"/>
  <c r="AG167" i="1"/>
  <c r="AF167" i="1"/>
  <c r="AE167" i="1"/>
  <c r="AG166" i="1"/>
  <c r="AF166" i="1"/>
  <c r="AE166" i="1"/>
  <c r="AG165" i="1"/>
  <c r="AF165" i="1"/>
  <c r="AE165" i="1"/>
  <c r="AG164" i="1"/>
  <c r="AF164" i="1"/>
  <c r="AE164" i="1"/>
  <c r="AG163" i="1"/>
  <c r="AF163" i="1"/>
  <c r="AE163" i="1"/>
  <c r="AG162" i="1"/>
  <c r="AF162" i="1"/>
  <c r="AE162" i="1"/>
  <c r="AG161" i="1"/>
  <c r="AF161" i="1"/>
  <c r="AE161" i="1"/>
  <c r="AG160" i="1"/>
  <c r="AF160" i="1"/>
  <c r="AE160" i="1"/>
  <c r="AG159" i="1"/>
  <c r="AF159" i="1"/>
  <c r="AE159" i="1"/>
  <c r="AG158" i="1"/>
  <c r="AF158" i="1"/>
  <c r="AE158" i="1"/>
  <c r="AG157" i="1"/>
  <c r="AF157" i="1"/>
  <c r="AE157" i="1"/>
  <c r="AG156" i="1"/>
  <c r="AF156" i="1"/>
  <c r="AE156" i="1"/>
  <c r="AG155" i="1"/>
  <c r="AF155" i="1"/>
  <c r="AE155" i="1"/>
  <c r="AG154" i="1"/>
  <c r="AF154" i="1"/>
  <c r="AE154" i="1"/>
  <c r="AG153" i="1"/>
  <c r="AF153" i="1"/>
  <c r="AE153" i="1"/>
  <c r="AG152" i="1"/>
  <c r="AF152" i="1"/>
  <c r="AE152" i="1"/>
  <c r="AG151" i="1"/>
  <c r="AF151" i="1"/>
  <c r="AE151" i="1"/>
  <c r="AG150" i="1"/>
  <c r="AF150" i="1"/>
  <c r="AE150" i="1"/>
  <c r="AG149" i="1"/>
  <c r="AF149" i="1"/>
  <c r="AE149" i="1"/>
  <c r="AG148" i="1"/>
  <c r="AF148" i="1"/>
  <c r="AE148" i="1"/>
  <c r="AG147" i="1"/>
  <c r="AF147" i="1"/>
  <c r="AE147" i="1"/>
  <c r="AG146" i="1"/>
  <c r="AF146" i="1"/>
  <c r="AE146" i="1"/>
  <c r="AG145" i="1"/>
  <c r="AF145" i="1"/>
  <c r="AE145" i="1"/>
  <c r="AG144" i="1"/>
  <c r="AF144" i="1"/>
  <c r="AE144" i="1"/>
  <c r="AG143" i="1"/>
  <c r="AF143" i="1"/>
  <c r="AE143" i="1"/>
  <c r="AG142" i="1"/>
  <c r="AF142" i="1"/>
  <c r="AE142" i="1"/>
  <c r="AG141" i="1"/>
  <c r="AF141" i="1"/>
  <c r="AE141" i="1"/>
  <c r="AG140" i="1"/>
  <c r="AF140" i="1"/>
  <c r="AE140" i="1"/>
  <c r="AG139" i="1"/>
  <c r="AF139" i="1"/>
  <c r="AE139" i="1"/>
  <c r="AG138" i="1"/>
  <c r="AF138" i="1"/>
  <c r="AE138" i="1"/>
  <c r="AG137" i="1"/>
  <c r="AF137" i="1"/>
  <c r="AE137" i="1"/>
  <c r="AG136" i="1"/>
  <c r="AF136" i="1"/>
  <c r="AE136" i="1"/>
  <c r="AG135" i="1"/>
  <c r="AF135" i="1"/>
  <c r="AE135" i="1"/>
  <c r="AG134" i="1"/>
  <c r="AF134" i="1"/>
  <c r="AE134" i="1"/>
  <c r="AG133" i="1"/>
  <c r="AF133" i="1"/>
  <c r="AE133" i="1"/>
  <c r="AG132" i="1"/>
  <c r="AF132" i="1"/>
  <c r="AE132" i="1"/>
  <c r="AG131" i="1"/>
  <c r="AF131" i="1"/>
  <c r="AE131" i="1"/>
  <c r="AG130" i="1"/>
  <c r="AF130" i="1"/>
  <c r="AE130" i="1"/>
  <c r="AG129" i="1"/>
  <c r="AF129" i="1"/>
  <c r="AE129" i="1"/>
  <c r="AG128" i="1"/>
  <c r="AF128" i="1"/>
  <c r="AE128" i="1"/>
  <c r="AG127" i="1"/>
  <c r="AF127" i="1"/>
  <c r="AE127" i="1"/>
  <c r="AG126" i="1"/>
  <c r="AF126" i="1"/>
  <c r="AE126" i="1"/>
  <c r="AG125" i="1"/>
  <c r="AF125" i="1"/>
  <c r="AE125" i="1"/>
  <c r="AG124" i="1"/>
  <c r="AF124" i="1"/>
  <c r="AE124" i="1"/>
  <c r="AG123" i="1"/>
  <c r="AF123" i="1"/>
  <c r="AE123" i="1"/>
  <c r="AG122" i="1"/>
  <c r="AF122" i="1"/>
  <c r="AE122" i="1"/>
  <c r="AG121" i="1"/>
  <c r="AF121" i="1"/>
  <c r="AE121" i="1"/>
  <c r="AG120" i="1"/>
  <c r="AF120" i="1"/>
  <c r="AE120" i="1"/>
  <c r="AG119" i="1"/>
  <c r="AF119" i="1"/>
  <c r="AE119" i="1"/>
  <c r="AG118" i="1"/>
  <c r="AF118" i="1"/>
  <c r="AE118" i="1"/>
  <c r="AG117" i="1"/>
  <c r="AF117" i="1"/>
  <c r="AE117" i="1"/>
  <c r="AG116" i="1"/>
  <c r="AF116" i="1"/>
  <c r="AE116" i="1"/>
  <c r="AG115" i="1"/>
  <c r="AF115" i="1"/>
  <c r="AE115" i="1"/>
  <c r="AG114" i="1"/>
  <c r="AF114" i="1"/>
  <c r="AE114" i="1"/>
  <c r="AG113" i="1"/>
  <c r="AF113" i="1"/>
  <c r="AE113" i="1"/>
  <c r="AG112" i="1"/>
  <c r="AF112" i="1"/>
  <c r="AE112" i="1"/>
  <c r="AG111" i="1"/>
  <c r="AF111" i="1"/>
  <c r="AE111" i="1"/>
  <c r="AG110" i="1"/>
  <c r="AF110" i="1"/>
  <c r="AE110" i="1"/>
  <c r="AG109" i="1"/>
  <c r="AF109" i="1"/>
  <c r="AE109" i="1"/>
  <c r="AG108" i="1"/>
  <c r="AF108" i="1"/>
  <c r="AE108" i="1"/>
  <c r="AG107" i="1"/>
  <c r="AF107" i="1"/>
  <c r="AE107" i="1"/>
  <c r="AG106" i="1"/>
  <c r="AF106" i="1"/>
  <c r="AE106" i="1"/>
  <c r="AG105" i="1"/>
  <c r="AF105" i="1"/>
  <c r="AE105" i="1"/>
  <c r="AG104" i="1"/>
  <c r="AF104" i="1"/>
  <c r="AE104" i="1"/>
  <c r="AG103" i="1"/>
  <c r="AF103" i="1"/>
  <c r="AE103" i="1"/>
  <c r="AG102" i="1"/>
  <c r="AF102" i="1"/>
  <c r="AE102" i="1"/>
  <c r="AG101" i="1"/>
  <c r="AF101" i="1"/>
  <c r="AE101" i="1"/>
  <c r="AG100" i="1"/>
  <c r="AF100" i="1"/>
  <c r="AE100" i="1"/>
  <c r="AN239" i="1"/>
  <c r="AM239" i="1"/>
  <c r="AL239" i="1"/>
  <c r="AN238" i="1"/>
  <c r="AM238" i="1"/>
  <c r="AL238" i="1"/>
  <c r="AN237" i="1"/>
  <c r="AM237" i="1"/>
  <c r="AL237" i="1"/>
  <c r="AN236" i="1"/>
  <c r="AM236" i="1"/>
  <c r="AL236" i="1"/>
  <c r="AN235" i="1"/>
  <c r="AM235" i="1"/>
  <c r="AL235" i="1"/>
  <c r="AN234" i="1"/>
  <c r="AM234" i="1"/>
  <c r="AL234" i="1"/>
  <c r="AN233" i="1"/>
  <c r="AM233" i="1"/>
  <c r="AL233" i="1"/>
  <c r="AN232" i="1"/>
  <c r="AM232" i="1"/>
  <c r="AL232" i="1"/>
  <c r="AN231" i="1"/>
  <c r="AM231" i="1"/>
  <c r="AL231" i="1"/>
  <c r="AN230" i="1"/>
  <c r="AM230" i="1"/>
  <c r="AL230" i="1"/>
  <c r="AN229" i="1"/>
  <c r="AM229" i="1"/>
  <c r="AN228" i="1"/>
  <c r="AM228" i="1"/>
  <c r="AL228" i="1"/>
  <c r="AN227" i="1"/>
  <c r="AM227" i="1"/>
  <c r="AL227" i="1"/>
  <c r="AN226" i="1"/>
  <c r="AM226" i="1"/>
  <c r="AL226" i="1"/>
  <c r="AN225" i="1"/>
  <c r="AM225" i="1"/>
  <c r="AL225" i="1"/>
  <c r="AN224" i="1"/>
  <c r="AM224" i="1"/>
  <c r="AL224" i="1"/>
  <c r="AN223" i="1"/>
  <c r="AM223" i="1"/>
  <c r="AL223" i="1"/>
  <c r="AN222" i="1"/>
  <c r="AM222" i="1"/>
  <c r="AL222" i="1"/>
  <c r="AN221" i="1"/>
  <c r="AM221" i="1"/>
  <c r="AL221" i="1"/>
  <c r="AN220" i="1"/>
  <c r="AM220" i="1"/>
  <c r="AL220" i="1"/>
  <c r="AN219" i="1"/>
  <c r="AM219" i="1"/>
  <c r="AL219" i="1"/>
  <c r="AN218" i="1"/>
  <c r="AM218" i="1"/>
  <c r="AL218" i="1"/>
  <c r="AN217" i="1"/>
  <c r="AM217" i="1"/>
  <c r="AL217" i="1"/>
  <c r="AN216" i="1"/>
  <c r="AM216" i="1"/>
  <c r="AL216" i="1"/>
  <c r="AN215" i="1"/>
  <c r="AM215" i="1"/>
  <c r="AL215" i="1"/>
  <c r="AN214" i="1"/>
  <c r="AM214" i="1"/>
  <c r="AL214" i="1"/>
  <c r="AN213" i="1"/>
  <c r="AM213" i="1"/>
  <c r="AL213" i="1"/>
  <c r="AN212" i="1"/>
  <c r="AM212" i="1"/>
  <c r="AL212" i="1"/>
  <c r="AN211" i="1"/>
  <c r="AM211" i="1"/>
  <c r="AL211" i="1"/>
  <c r="AN210" i="1"/>
  <c r="AM210" i="1"/>
  <c r="AL210" i="1"/>
  <c r="AN209" i="1"/>
  <c r="AM209" i="1"/>
  <c r="AL209" i="1"/>
  <c r="AN208" i="1"/>
  <c r="AM208" i="1"/>
  <c r="AL208" i="1"/>
  <c r="AN207" i="1"/>
  <c r="AM207" i="1"/>
  <c r="AL207" i="1"/>
  <c r="AN206" i="1"/>
  <c r="AM206" i="1"/>
  <c r="AL206" i="1"/>
  <c r="AN205" i="1"/>
  <c r="AM205" i="1"/>
  <c r="AL205" i="1"/>
  <c r="AN204" i="1"/>
  <c r="AM204" i="1"/>
  <c r="AL204" i="1"/>
  <c r="AN203" i="1"/>
  <c r="AM203" i="1"/>
  <c r="AL203" i="1"/>
  <c r="AN202" i="1"/>
  <c r="AM202" i="1"/>
  <c r="AL202" i="1"/>
  <c r="AN201" i="1"/>
  <c r="AM201" i="1"/>
  <c r="AL201" i="1"/>
  <c r="AN200" i="1"/>
  <c r="AM200" i="1"/>
  <c r="AL200" i="1"/>
  <c r="AN199" i="1"/>
  <c r="AM199" i="1"/>
  <c r="AL199" i="1"/>
  <c r="AN198" i="1"/>
  <c r="AM198" i="1"/>
  <c r="AL198" i="1"/>
  <c r="AN197" i="1"/>
  <c r="AM197" i="1"/>
  <c r="AL197" i="1"/>
  <c r="AN196" i="1"/>
  <c r="AM196" i="1"/>
  <c r="AL196" i="1"/>
  <c r="AN195" i="1"/>
  <c r="AM195" i="1"/>
  <c r="AL195" i="1"/>
  <c r="AN194" i="1"/>
  <c r="AM194" i="1"/>
  <c r="AL194" i="1"/>
  <c r="AN193" i="1"/>
  <c r="AM193" i="1"/>
  <c r="AL193" i="1"/>
  <c r="AN192" i="1"/>
  <c r="AM192" i="1"/>
  <c r="AL192" i="1"/>
  <c r="AN191" i="1"/>
  <c r="AM191" i="1"/>
  <c r="AL191" i="1"/>
  <c r="AN190" i="1"/>
  <c r="AM190" i="1"/>
  <c r="AL190" i="1"/>
  <c r="AN189" i="1"/>
  <c r="AM189" i="1"/>
  <c r="AL189" i="1"/>
  <c r="AN188" i="1"/>
  <c r="AM188" i="1"/>
  <c r="AL188" i="1"/>
  <c r="AN187" i="1"/>
  <c r="AM187" i="1"/>
  <c r="AL187" i="1"/>
  <c r="AN186" i="1"/>
  <c r="AM186" i="1"/>
  <c r="AL186" i="1"/>
  <c r="AN185" i="1"/>
  <c r="AM185" i="1"/>
  <c r="AL185" i="1"/>
  <c r="AN184" i="1"/>
  <c r="AM184" i="1"/>
  <c r="AL184" i="1"/>
  <c r="AN183" i="1"/>
  <c r="AM183" i="1"/>
  <c r="AL183" i="1"/>
  <c r="AN182" i="1"/>
  <c r="AM182" i="1"/>
  <c r="AL182" i="1"/>
  <c r="AN181" i="1"/>
  <c r="AM181" i="1"/>
  <c r="AL181" i="1"/>
  <c r="AN180" i="1"/>
  <c r="AM180" i="1"/>
  <c r="AL180" i="1"/>
  <c r="AN179" i="1"/>
  <c r="AM179" i="1"/>
  <c r="AL179" i="1"/>
  <c r="AN178" i="1"/>
  <c r="AM178" i="1"/>
  <c r="AL178" i="1"/>
  <c r="AN177" i="1"/>
  <c r="AM177" i="1"/>
  <c r="AL177" i="1"/>
  <c r="AN176" i="1"/>
  <c r="AM176" i="1"/>
  <c r="AL176" i="1"/>
  <c r="AN175" i="1"/>
  <c r="AM175" i="1"/>
  <c r="AL175" i="1"/>
  <c r="AN174" i="1"/>
  <c r="AM174" i="1"/>
  <c r="AL174" i="1"/>
  <c r="AN173" i="1"/>
  <c r="AM173" i="1"/>
  <c r="AL173" i="1"/>
  <c r="AN172" i="1"/>
  <c r="AM172" i="1"/>
  <c r="AL172" i="1"/>
  <c r="AN171" i="1"/>
  <c r="AM171" i="1"/>
  <c r="AL171" i="1"/>
  <c r="AN170" i="1"/>
  <c r="AM170" i="1"/>
  <c r="AL170" i="1"/>
  <c r="AN169" i="1"/>
  <c r="AM169" i="1"/>
  <c r="AL169" i="1"/>
  <c r="AN168" i="1"/>
  <c r="AM168" i="1"/>
  <c r="AL168" i="1"/>
  <c r="AN167" i="1"/>
  <c r="AM167" i="1"/>
  <c r="AL167" i="1"/>
  <c r="AN166" i="1"/>
  <c r="AM166" i="1"/>
  <c r="AL166" i="1"/>
  <c r="AN165" i="1"/>
  <c r="AM165" i="1"/>
  <c r="AL165" i="1"/>
  <c r="AN164" i="1"/>
  <c r="AM164" i="1"/>
  <c r="AL164" i="1"/>
  <c r="AN163" i="1"/>
  <c r="AM163" i="1"/>
  <c r="AL163" i="1"/>
  <c r="AN162" i="1"/>
  <c r="AM162" i="1"/>
  <c r="AL162" i="1"/>
  <c r="AN161" i="1"/>
  <c r="AM161" i="1"/>
  <c r="AL161" i="1"/>
  <c r="AN160" i="1"/>
  <c r="AM160" i="1"/>
  <c r="AL160" i="1"/>
  <c r="AN159" i="1"/>
  <c r="AM159" i="1"/>
  <c r="AL159" i="1"/>
  <c r="AN158" i="1"/>
  <c r="AM158" i="1"/>
  <c r="AL158" i="1"/>
  <c r="AN157" i="1"/>
  <c r="AM157" i="1"/>
  <c r="AL157" i="1"/>
  <c r="AN156" i="1"/>
  <c r="AM156" i="1"/>
  <c r="AL156" i="1"/>
  <c r="AN155" i="1"/>
  <c r="AM155" i="1"/>
  <c r="AL155" i="1"/>
  <c r="AN154" i="1"/>
  <c r="AM154" i="1"/>
  <c r="AL154" i="1"/>
  <c r="AN153" i="1"/>
  <c r="AM153" i="1"/>
  <c r="AL153" i="1"/>
  <c r="AN152" i="1"/>
  <c r="AM152" i="1"/>
  <c r="AL152" i="1"/>
  <c r="AN151" i="1"/>
  <c r="AM151" i="1"/>
  <c r="AL151" i="1"/>
  <c r="AN150" i="1"/>
  <c r="AM150" i="1"/>
  <c r="AL150" i="1"/>
  <c r="AN149" i="1"/>
  <c r="AM149" i="1"/>
  <c r="AL149" i="1"/>
  <c r="AN148" i="1"/>
  <c r="AM148" i="1"/>
  <c r="AL148" i="1"/>
  <c r="AN147" i="1"/>
  <c r="AM147" i="1"/>
  <c r="AL147" i="1"/>
  <c r="AN146" i="1"/>
  <c r="AM146" i="1"/>
  <c r="AL146" i="1"/>
  <c r="AN145" i="1"/>
  <c r="AM145" i="1"/>
  <c r="AL145" i="1"/>
  <c r="AN144" i="1"/>
  <c r="AM144" i="1"/>
  <c r="AL144" i="1"/>
  <c r="AN143" i="1"/>
  <c r="AM143" i="1"/>
  <c r="AL143" i="1"/>
  <c r="AN142" i="1"/>
  <c r="AM142" i="1"/>
  <c r="AL142" i="1"/>
  <c r="AN141" i="1"/>
  <c r="AM141" i="1"/>
  <c r="AL141" i="1"/>
  <c r="AN140" i="1"/>
  <c r="AM140" i="1"/>
  <c r="AL140" i="1"/>
  <c r="AN139" i="1"/>
  <c r="AM139" i="1"/>
  <c r="AL139" i="1"/>
  <c r="AN138" i="1"/>
  <c r="AM138" i="1"/>
  <c r="AL138" i="1"/>
  <c r="AN137" i="1"/>
  <c r="AM137" i="1"/>
  <c r="AL137" i="1"/>
  <c r="AN136" i="1"/>
  <c r="AM136" i="1"/>
  <c r="AL136" i="1"/>
  <c r="AN135" i="1"/>
  <c r="AM135" i="1"/>
  <c r="AL135" i="1"/>
  <c r="AN134" i="1"/>
  <c r="AM134" i="1"/>
  <c r="AL134" i="1"/>
  <c r="AN133" i="1"/>
  <c r="AM133" i="1"/>
  <c r="AL133" i="1"/>
  <c r="AN132" i="1"/>
  <c r="AM132" i="1"/>
  <c r="AL132" i="1"/>
  <c r="AN131" i="1"/>
  <c r="AM131" i="1"/>
  <c r="AL131" i="1"/>
  <c r="AN130" i="1"/>
  <c r="AM130" i="1"/>
  <c r="AL130" i="1"/>
  <c r="AN129" i="1"/>
  <c r="AM129" i="1"/>
  <c r="AL129" i="1"/>
  <c r="AN128" i="1"/>
  <c r="AM128" i="1"/>
  <c r="AL128" i="1"/>
  <c r="AN127" i="1"/>
  <c r="AM127" i="1"/>
  <c r="AL127" i="1"/>
  <c r="AN126" i="1"/>
  <c r="AM126" i="1"/>
  <c r="AL126" i="1"/>
  <c r="AN125" i="1"/>
  <c r="AM125" i="1"/>
  <c r="AL125" i="1"/>
  <c r="AN124" i="1"/>
  <c r="AM124" i="1"/>
  <c r="AL124" i="1"/>
  <c r="AN123" i="1"/>
  <c r="AM123" i="1"/>
  <c r="AL123" i="1"/>
  <c r="AN122" i="1"/>
  <c r="AM122" i="1"/>
  <c r="AL122" i="1"/>
  <c r="AN121" i="1"/>
  <c r="AM121" i="1"/>
  <c r="AL121" i="1"/>
  <c r="AN120" i="1"/>
  <c r="AM120" i="1"/>
  <c r="AL120" i="1"/>
  <c r="AN119" i="1"/>
  <c r="AM119" i="1"/>
  <c r="AL119" i="1"/>
  <c r="AN118" i="1"/>
  <c r="AM118" i="1"/>
  <c r="AL118" i="1"/>
  <c r="AN117" i="1"/>
  <c r="AM117" i="1"/>
  <c r="AL117" i="1"/>
  <c r="AN116" i="1"/>
  <c r="AM116" i="1"/>
  <c r="AL116" i="1"/>
  <c r="AN115" i="1"/>
  <c r="AM115" i="1"/>
  <c r="AL115" i="1"/>
  <c r="AN114" i="1"/>
  <c r="AM114" i="1"/>
  <c r="AL114" i="1"/>
  <c r="AN113" i="1"/>
  <c r="AM113" i="1"/>
  <c r="AL113" i="1"/>
  <c r="AN112" i="1"/>
  <c r="AM112" i="1"/>
  <c r="AL112" i="1"/>
  <c r="AN111" i="1"/>
  <c r="AM111" i="1"/>
  <c r="AL111" i="1"/>
  <c r="AN110" i="1"/>
  <c r="AM110" i="1"/>
  <c r="AL110" i="1"/>
  <c r="AN109" i="1"/>
  <c r="AM109" i="1"/>
  <c r="AL109" i="1"/>
  <c r="AN108" i="1"/>
  <c r="AM108" i="1"/>
  <c r="AL108" i="1"/>
  <c r="AN107" i="1"/>
  <c r="AM107" i="1"/>
  <c r="AL107" i="1"/>
  <c r="AN106" i="1"/>
  <c r="AM106" i="1"/>
  <c r="AL106" i="1"/>
  <c r="AN105" i="1"/>
  <c r="AM105" i="1"/>
  <c r="AL105" i="1"/>
  <c r="AN104" i="1"/>
  <c r="AM104" i="1"/>
  <c r="AL104" i="1"/>
  <c r="AN103" i="1"/>
  <c r="AM103" i="1"/>
  <c r="AL103" i="1"/>
  <c r="AN102" i="1"/>
  <c r="AM102" i="1"/>
  <c r="AL102" i="1"/>
  <c r="AN101" i="1"/>
  <c r="AM101" i="1"/>
  <c r="AL101" i="1"/>
  <c r="AN100" i="1"/>
  <c r="AM100" i="1"/>
  <c r="AL100" i="1"/>
  <c r="AG99" i="1"/>
  <c r="AF99" i="1"/>
  <c r="AE99" i="1"/>
  <c r="AN99" i="1"/>
  <c r="AM99" i="1"/>
  <c r="AL99" i="1"/>
  <c r="Y223" i="1"/>
  <c r="M223" i="1" l="1"/>
  <c r="R223" i="1" s="1"/>
  <c r="Y222" i="1"/>
  <c r="Z262" i="1"/>
  <c r="T262" i="1" s="1"/>
  <c r="T261" i="1"/>
  <c r="Z260" i="1"/>
  <c r="T260" i="1" s="1"/>
  <c r="Z259" i="1"/>
  <c r="T259" i="1" s="1"/>
  <c r="Z258" i="1"/>
  <c r="T258" i="1" s="1"/>
  <c r="Z257" i="1"/>
  <c r="T257" i="1" s="1"/>
  <c r="Z256" i="1"/>
  <c r="T256" i="1" s="1"/>
  <c r="Z255" i="1"/>
  <c r="T255" i="1" s="1"/>
  <c r="Z254" i="1"/>
  <c r="T254" i="1" s="1"/>
  <c r="Z253" i="1"/>
  <c r="T253" i="1" s="1"/>
  <c r="Z252" i="1"/>
  <c r="T252" i="1" s="1"/>
  <c r="Z251" i="1"/>
  <c r="T251" i="1" s="1"/>
  <c r="Z250" i="1"/>
  <c r="T250" i="1" s="1"/>
  <c r="Z249" i="1"/>
  <c r="T249" i="1" s="1"/>
  <c r="Z248" i="1"/>
  <c r="T248" i="1" s="1"/>
  <c r="Z247" i="1"/>
  <c r="T247" i="1" s="1"/>
  <c r="Z246" i="1"/>
  <c r="T246" i="1" s="1"/>
  <c r="Z245" i="1"/>
  <c r="T245" i="1" s="1"/>
  <c r="Z244" i="1"/>
  <c r="T244" i="1" s="1"/>
  <c r="Z243" i="1"/>
  <c r="T243" i="1" s="1"/>
  <c r="Z242" i="1"/>
  <c r="T242" i="1" s="1"/>
  <c r="Z241" i="1"/>
  <c r="T241" i="1" s="1"/>
  <c r="Z240" i="1"/>
  <c r="T240" i="1" s="1"/>
  <c r="Z239" i="1"/>
  <c r="T239" i="1" s="1"/>
  <c r="Z238" i="1"/>
  <c r="T238" i="1" s="1"/>
  <c r="Z237" i="1"/>
  <c r="T237" i="1" s="1"/>
  <c r="Z236" i="1"/>
  <c r="T236" i="1" s="1"/>
  <c r="Z235" i="1"/>
  <c r="T235" i="1" s="1"/>
  <c r="Z234" i="1"/>
  <c r="T234" i="1" s="1"/>
  <c r="Z233" i="1"/>
  <c r="T233" i="1" s="1"/>
  <c r="Z232" i="1"/>
  <c r="T232" i="1" s="1"/>
  <c r="Z231" i="1"/>
  <c r="T231" i="1" s="1"/>
  <c r="Z230" i="1"/>
  <c r="T230" i="1" s="1"/>
  <c r="Z229" i="1"/>
  <c r="T229" i="1" s="1"/>
  <c r="Z228" i="1"/>
  <c r="T228" i="1" s="1"/>
  <c r="Z227" i="1"/>
  <c r="T227" i="1" s="1"/>
  <c r="Z226" i="1"/>
  <c r="T226" i="1" s="1"/>
  <c r="T225" i="1"/>
  <c r="Z224" i="1"/>
  <c r="T224" i="1" s="1"/>
  <c r="Z223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T170" i="1" s="1"/>
  <c r="Z169" i="1"/>
  <c r="T169" i="1" s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T152" i="1" s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T223" i="1" l="1"/>
  <c r="Z222" i="1"/>
  <c r="S223" i="1"/>
  <c r="H222" i="1"/>
  <c r="M222" i="1"/>
  <c r="R222" i="1" s="1"/>
  <c r="S222" i="1" l="1"/>
  <c r="T222" i="1"/>
  <c r="Y221" i="1"/>
  <c r="M221" i="1"/>
  <c r="R221" i="1" s="1"/>
  <c r="S221" i="1" l="1"/>
  <c r="Z221" i="1"/>
  <c r="T221" i="1" s="1"/>
  <c r="M220" i="1"/>
  <c r="R220" i="1" l="1"/>
  <c r="S220" i="1"/>
  <c r="T220" i="1"/>
  <c r="M219" i="1"/>
  <c r="S219" i="1" l="1"/>
  <c r="R219" i="1"/>
  <c r="T219" i="1"/>
  <c r="M218" i="1"/>
  <c r="S218" i="1" l="1"/>
  <c r="R218" i="1"/>
  <c r="T218" i="1"/>
  <c r="M217" i="1"/>
  <c r="S217" i="1" l="1"/>
  <c r="R217" i="1"/>
  <c r="T217" i="1"/>
  <c r="M216" i="1"/>
  <c r="M215" i="1"/>
  <c r="S216" i="1" l="1"/>
  <c r="R216" i="1"/>
  <c r="T216" i="1"/>
  <c r="S215" i="1"/>
  <c r="R215" i="1"/>
  <c r="T215" i="1"/>
  <c r="M214" i="1"/>
  <c r="R214" i="1" l="1"/>
  <c r="S214" i="1"/>
  <c r="T214" i="1"/>
  <c r="M213" i="1"/>
  <c r="S213" i="1" l="1"/>
  <c r="R213" i="1"/>
  <c r="T213" i="1"/>
  <c r="M212" i="1"/>
  <c r="S212" i="1" l="1"/>
  <c r="R212" i="1"/>
  <c r="T212" i="1"/>
  <c r="M211" i="1"/>
  <c r="M210" i="1"/>
  <c r="S211" i="1" l="1"/>
  <c r="R211" i="1"/>
  <c r="T211" i="1"/>
  <c r="S210" i="1"/>
  <c r="R210" i="1"/>
  <c r="T210" i="1"/>
  <c r="M209" i="1"/>
  <c r="M208" i="1"/>
  <c r="S208" i="1" l="1"/>
  <c r="R208" i="1"/>
  <c r="T208" i="1"/>
  <c r="S209" i="1"/>
  <c r="R209" i="1"/>
  <c r="T209" i="1"/>
  <c r="M207" i="1"/>
  <c r="S207" i="1" l="1"/>
  <c r="R207" i="1"/>
  <c r="T207" i="1"/>
  <c r="M206" i="1"/>
  <c r="S206" i="1" l="1"/>
  <c r="R206" i="1"/>
  <c r="T206" i="1"/>
  <c r="M205" i="1"/>
  <c r="S205" i="1" l="1"/>
  <c r="R205" i="1"/>
  <c r="T205" i="1"/>
  <c r="M204" i="1" l="1"/>
  <c r="R204" i="1" l="1"/>
  <c r="S204" i="1"/>
  <c r="T204" i="1"/>
  <c r="M203" i="1"/>
  <c r="M202" i="1"/>
  <c r="M201" i="1"/>
  <c r="M200" i="1"/>
  <c r="S200" i="1" l="1"/>
  <c r="R200" i="1"/>
  <c r="T200" i="1"/>
  <c r="S202" i="1"/>
  <c r="R202" i="1"/>
  <c r="T202" i="1"/>
  <c r="S201" i="1"/>
  <c r="R201" i="1"/>
  <c r="T201" i="1"/>
  <c r="S203" i="1"/>
  <c r="R203" i="1"/>
  <c r="T203" i="1"/>
  <c r="M199" i="1"/>
  <c r="M198" i="1"/>
  <c r="S199" i="1" l="1"/>
  <c r="R199" i="1"/>
  <c r="T199" i="1"/>
  <c r="S198" i="1"/>
  <c r="R198" i="1"/>
  <c r="T198" i="1"/>
  <c r="M197" i="1"/>
  <c r="M196" i="1"/>
  <c r="S197" i="1" l="1"/>
  <c r="R197" i="1"/>
  <c r="T197" i="1"/>
  <c r="R196" i="1"/>
  <c r="S196" i="1"/>
  <c r="T196" i="1"/>
  <c r="M195" i="1"/>
  <c r="S195" i="1" l="1"/>
  <c r="R195" i="1"/>
  <c r="T195" i="1"/>
  <c r="M194" i="1"/>
  <c r="S194" i="1" l="1"/>
  <c r="R194" i="1"/>
  <c r="T194" i="1"/>
  <c r="M193" i="1"/>
  <c r="R193" i="1" l="1"/>
  <c r="S193" i="1"/>
  <c r="T193" i="1"/>
  <c r="M192" i="1"/>
  <c r="S192" i="1" l="1"/>
  <c r="R192" i="1"/>
  <c r="T192" i="1"/>
  <c r="M191" i="1"/>
  <c r="S191" i="1" l="1"/>
  <c r="R191" i="1"/>
  <c r="T191" i="1"/>
  <c r="M190" i="1"/>
  <c r="R190" i="1" l="1"/>
  <c r="S190" i="1"/>
  <c r="T190" i="1"/>
  <c r="M189" i="1"/>
  <c r="M188" i="1"/>
  <c r="S188" i="1" l="1"/>
  <c r="R188" i="1"/>
  <c r="T188" i="1"/>
  <c r="S189" i="1"/>
  <c r="R189" i="1"/>
  <c r="T189" i="1"/>
  <c r="M187" i="1"/>
  <c r="R187" i="1" l="1"/>
  <c r="S187" i="1"/>
  <c r="T187" i="1"/>
  <c r="M186" i="1"/>
  <c r="S186" i="1" l="1"/>
  <c r="R186" i="1"/>
  <c r="T186" i="1"/>
  <c r="M185" i="1"/>
  <c r="M184" i="1"/>
  <c r="S184" i="1" l="1"/>
  <c r="R184" i="1"/>
  <c r="T184" i="1"/>
  <c r="S185" i="1"/>
  <c r="R185" i="1"/>
  <c r="T185" i="1"/>
  <c r="M183" i="1"/>
  <c r="S183" i="1" l="1"/>
  <c r="R183" i="1"/>
  <c r="T183" i="1"/>
  <c r="M182" i="1"/>
  <c r="M181" i="1"/>
  <c r="R182" i="1" l="1"/>
  <c r="S182" i="1"/>
  <c r="T182" i="1"/>
  <c r="S181" i="1"/>
  <c r="R181" i="1"/>
  <c r="T181" i="1"/>
  <c r="M180" i="1"/>
  <c r="S180" i="1" l="1"/>
  <c r="R180" i="1"/>
  <c r="T180" i="1"/>
  <c r="M179" i="1"/>
  <c r="M178" i="1"/>
  <c r="R179" i="1" l="1"/>
  <c r="S179" i="1"/>
  <c r="T179" i="1"/>
  <c r="S178" i="1"/>
  <c r="R178" i="1"/>
  <c r="T178" i="1"/>
  <c r="M177" i="1"/>
  <c r="M176" i="1"/>
  <c r="R176" i="1" l="1"/>
  <c r="S176" i="1"/>
  <c r="T176" i="1"/>
  <c r="S177" i="1"/>
  <c r="R177" i="1"/>
  <c r="T177" i="1"/>
  <c r="M175" i="1"/>
  <c r="S175" i="1" l="1"/>
  <c r="R175" i="1"/>
  <c r="T175" i="1"/>
  <c r="M174" i="1"/>
  <c r="R174" i="1" l="1"/>
  <c r="S174" i="1"/>
  <c r="T174" i="1"/>
  <c r="M173" i="1" l="1"/>
  <c r="S173" i="1" l="1"/>
  <c r="R173" i="1"/>
  <c r="T173" i="1"/>
  <c r="M172" i="1"/>
  <c r="R172" i="1" l="1"/>
  <c r="S172" i="1"/>
  <c r="T172" i="1"/>
  <c r="M171" i="1"/>
  <c r="S171" i="1" l="1"/>
  <c r="R171" i="1"/>
  <c r="T171" i="1"/>
  <c r="M168" i="1"/>
  <c r="M167" i="1"/>
  <c r="S168" i="1" l="1"/>
  <c r="R168" i="1"/>
  <c r="T168" i="1"/>
  <c r="R167" i="1"/>
  <c r="S167" i="1"/>
  <c r="T167" i="1"/>
  <c r="M166" i="1"/>
  <c r="S166" i="1" l="1"/>
  <c r="R166" i="1"/>
  <c r="T166" i="1"/>
  <c r="M165" i="1"/>
  <c r="S165" i="1" l="1"/>
  <c r="R165" i="1"/>
  <c r="T165" i="1"/>
  <c r="M164" i="1"/>
  <c r="R164" i="1" l="1"/>
  <c r="S164" i="1"/>
  <c r="T164" i="1"/>
  <c r="M163" i="1" l="1"/>
  <c r="S163" i="1" l="1"/>
  <c r="R163" i="1"/>
  <c r="T163" i="1"/>
  <c r="M162" i="1"/>
  <c r="S162" i="1" l="1"/>
  <c r="R162" i="1"/>
  <c r="T162" i="1"/>
  <c r="M161" i="1"/>
  <c r="S161" i="1" l="1"/>
  <c r="R161" i="1"/>
  <c r="T161" i="1"/>
  <c r="M160" i="1"/>
  <c r="S160" i="1" l="1"/>
  <c r="R160" i="1"/>
  <c r="T160" i="1"/>
  <c r="M159" i="1"/>
  <c r="S159" i="1" l="1"/>
  <c r="R159" i="1"/>
  <c r="T159" i="1"/>
  <c r="M158" i="1"/>
  <c r="M154" i="1"/>
  <c r="R154" i="1" l="1"/>
  <c r="S154" i="1"/>
  <c r="T154" i="1"/>
  <c r="R158" i="1"/>
  <c r="S158" i="1"/>
  <c r="T158" i="1"/>
  <c r="M157" i="1"/>
  <c r="S157" i="1" l="1"/>
  <c r="R157" i="1"/>
  <c r="T157" i="1"/>
  <c r="M156" i="1" l="1"/>
  <c r="S156" i="1" l="1"/>
  <c r="R156" i="1"/>
  <c r="T156" i="1"/>
  <c r="M155" i="1"/>
  <c r="S155" i="1" l="1"/>
  <c r="R155" i="1"/>
  <c r="T155" i="1"/>
  <c r="M153" i="1"/>
  <c r="S153" i="1" l="1"/>
  <c r="R153" i="1"/>
  <c r="T153" i="1"/>
  <c r="M151" i="1"/>
  <c r="S151" i="1" l="1"/>
  <c r="R151" i="1"/>
  <c r="T151" i="1"/>
  <c r="M150" i="1"/>
  <c r="M149" i="1"/>
  <c r="S149" i="1" l="1"/>
  <c r="R149" i="1"/>
  <c r="T149" i="1"/>
  <c r="S150" i="1"/>
  <c r="R150" i="1"/>
  <c r="T150" i="1"/>
  <c r="M148" i="1"/>
  <c r="M147" i="1"/>
  <c r="M146" i="1"/>
  <c r="S147" i="1" l="1"/>
  <c r="R147" i="1"/>
  <c r="T147" i="1"/>
  <c r="R148" i="1"/>
  <c r="S148" i="1"/>
  <c r="T148" i="1"/>
  <c r="S146" i="1"/>
  <c r="R146" i="1"/>
  <c r="T146" i="1"/>
  <c r="M145" i="1"/>
  <c r="R145" i="1" l="1"/>
  <c r="S145" i="1"/>
  <c r="T145" i="1"/>
  <c r="M144" i="1"/>
  <c r="S144" i="1" l="1"/>
  <c r="R144" i="1"/>
  <c r="T144" i="1"/>
  <c r="M143" i="1"/>
  <c r="S143" i="1" l="1"/>
  <c r="R143" i="1"/>
  <c r="T143" i="1"/>
  <c r="M142" i="1"/>
  <c r="S142" i="1" l="1"/>
  <c r="R142" i="1"/>
  <c r="T142" i="1"/>
  <c r="M141" i="1"/>
  <c r="S141" i="1" l="1"/>
  <c r="R141" i="1"/>
  <c r="T141" i="1"/>
  <c r="M140" i="1"/>
  <c r="S140" i="1" l="1"/>
  <c r="R140" i="1"/>
  <c r="T140" i="1"/>
  <c r="M139" i="1"/>
  <c r="S139" i="1" l="1"/>
  <c r="R139" i="1"/>
  <c r="T139" i="1"/>
  <c r="M138" i="1"/>
  <c r="S138" i="1" l="1"/>
  <c r="R138" i="1"/>
  <c r="T138" i="1"/>
  <c r="M137" i="1"/>
  <c r="S137" i="1" l="1"/>
  <c r="R137" i="1"/>
  <c r="T137" i="1"/>
  <c r="M136" i="1"/>
  <c r="S136" i="1" l="1"/>
  <c r="R136" i="1"/>
  <c r="T136" i="1"/>
  <c r="M135" i="1"/>
  <c r="S135" i="1" s="1"/>
  <c r="H135" i="1"/>
  <c r="R135" i="1" l="1"/>
  <c r="T135" i="1"/>
  <c r="N136" i="1"/>
  <c r="O136" i="1" s="1"/>
  <c r="M134" i="1" l="1"/>
  <c r="S134" i="1" l="1"/>
  <c r="R134" i="1"/>
  <c r="T134" i="1"/>
  <c r="N142" i="1"/>
  <c r="O142" i="1" s="1"/>
  <c r="N141" i="1"/>
  <c r="O141" i="1" s="1"/>
  <c r="N140" i="1"/>
  <c r="O140" i="1" s="1"/>
  <c r="N139" i="1"/>
  <c r="O139" i="1" s="1"/>
  <c r="N138" i="1"/>
  <c r="O138" i="1" s="1"/>
  <c r="N137" i="1"/>
  <c r="O137" i="1" s="1"/>
  <c r="N135" i="1"/>
  <c r="O135" i="1" s="1"/>
  <c r="N134" i="1"/>
  <c r="O134" i="1" s="1"/>
  <c r="M133" i="1"/>
  <c r="R133" i="1" l="1"/>
  <c r="S133" i="1"/>
  <c r="T133" i="1"/>
  <c r="N133" i="1"/>
  <c r="O133" i="1" s="1"/>
  <c r="R132" i="1" l="1"/>
  <c r="S132" i="1"/>
  <c r="T132" i="1"/>
  <c r="N132" i="1"/>
  <c r="O132" i="1" s="1"/>
  <c r="M131" i="1"/>
  <c r="S131" i="1" l="1"/>
  <c r="R131" i="1"/>
  <c r="T131" i="1"/>
  <c r="N131" i="1"/>
  <c r="O131" i="1" s="1"/>
  <c r="M130" i="1"/>
  <c r="S130" i="1" l="1"/>
  <c r="R130" i="1"/>
  <c r="T130" i="1"/>
  <c r="N130" i="1"/>
  <c r="O130" i="1" s="1"/>
  <c r="M129" i="1"/>
  <c r="R129" i="1" l="1"/>
  <c r="S129" i="1"/>
  <c r="T129" i="1"/>
  <c r="N129" i="1"/>
  <c r="O129" i="1" s="1"/>
  <c r="M128" i="1"/>
  <c r="S128" i="1" l="1"/>
  <c r="R128" i="1"/>
  <c r="T128" i="1"/>
  <c r="N128" i="1"/>
  <c r="O128" i="1" s="1"/>
  <c r="M127" i="1"/>
  <c r="R127" i="1" l="1"/>
  <c r="S127" i="1"/>
  <c r="T127" i="1"/>
  <c r="N127" i="1"/>
  <c r="O127" i="1" s="1"/>
  <c r="M126" i="1"/>
  <c r="S126" i="1" l="1"/>
  <c r="R126" i="1"/>
  <c r="T126" i="1"/>
  <c r="N126" i="1"/>
  <c r="O126" i="1" s="1"/>
  <c r="M125" i="1"/>
  <c r="S125" i="1" l="1"/>
  <c r="R125" i="1"/>
  <c r="T125" i="1"/>
  <c r="N125" i="1"/>
  <c r="O125" i="1" s="1"/>
  <c r="M124" i="1"/>
  <c r="S124" i="1" l="1"/>
  <c r="R124" i="1"/>
  <c r="T124" i="1"/>
  <c r="N124" i="1"/>
  <c r="O124" i="1" s="1"/>
  <c r="M123" i="1"/>
  <c r="M122" i="1"/>
  <c r="S123" i="1" l="1"/>
  <c r="R123" i="1"/>
  <c r="T123" i="1"/>
  <c r="S122" i="1"/>
  <c r="R122" i="1"/>
  <c r="T122" i="1"/>
  <c r="N122" i="1"/>
  <c r="O122" i="1" s="1"/>
  <c r="N123" i="1"/>
  <c r="O123" i="1" s="1"/>
  <c r="M121" i="1"/>
  <c r="S121" i="1" l="1"/>
  <c r="R121" i="1"/>
  <c r="T121" i="1"/>
  <c r="N121" i="1"/>
  <c r="O121" i="1" s="1"/>
  <c r="M120" i="1"/>
  <c r="S120" i="1" l="1"/>
  <c r="R120" i="1"/>
  <c r="T120" i="1"/>
  <c r="N120" i="1"/>
  <c r="O120" i="1" s="1"/>
  <c r="M119" i="1"/>
  <c r="R119" i="1" l="1"/>
  <c r="S119" i="1"/>
  <c r="T119" i="1"/>
  <c r="N119" i="1"/>
  <c r="O119" i="1" s="1"/>
  <c r="M118" i="1"/>
  <c r="S118" i="1" l="1"/>
  <c r="R118" i="1"/>
  <c r="T118" i="1"/>
  <c r="N118" i="1"/>
  <c r="O118" i="1" s="1"/>
  <c r="M117" i="1"/>
  <c r="S117" i="1" l="1"/>
  <c r="R117" i="1"/>
  <c r="T117" i="1"/>
  <c r="N117" i="1"/>
  <c r="O117" i="1" s="1"/>
  <c r="M116" i="1"/>
  <c r="S116" i="1" l="1"/>
  <c r="R116" i="1"/>
  <c r="T116" i="1"/>
  <c r="N116" i="1"/>
  <c r="O116" i="1" s="1"/>
  <c r="M115" i="1"/>
  <c r="S115" i="1" l="1"/>
  <c r="R115" i="1"/>
  <c r="T115" i="1"/>
  <c r="M114" i="1"/>
  <c r="M113" i="1"/>
  <c r="S113" i="1" l="1"/>
  <c r="R113" i="1"/>
  <c r="T113" i="1"/>
  <c r="R114" i="1"/>
  <c r="S114" i="1"/>
  <c r="T114" i="1"/>
  <c r="M112" i="1"/>
  <c r="S112" i="1" l="1"/>
  <c r="R112" i="1"/>
  <c r="T112" i="1"/>
  <c r="M111" i="1"/>
  <c r="S111" i="1" l="1"/>
  <c r="R111" i="1"/>
  <c r="T111" i="1"/>
  <c r="N115" i="1"/>
  <c r="O115" i="1" s="1"/>
  <c r="N114" i="1"/>
  <c r="O114" i="1" s="1"/>
  <c r="N113" i="1"/>
  <c r="O113" i="1" s="1"/>
  <c r="N112" i="1"/>
  <c r="O112" i="1" s="1"/>
  <c r="N111" i="1"/>
  <c r="O111" i="1" s="1"/>
  <c r="M110" i="1" l="1"/>
  <c r="S110" i="1" l="1"/>
  <c r="R110" i="1"/>
  <c r="T110" i="1"/>
  <c r="M109" i="1"/>
  <c r="S109" i="1" l="1"/>
  <c r="R109" i="1"/>
  <c r="T109" i="1"/>
  <c r="M108" i="1"/>
  <c r="S108" i="1" l="1"/>
  <c r="R108" i="1"/>
  <c r="T108" i="1"/>
  <c r="M107" i="1"/>
  <c r="R107" i="1" l="1"/>
  <c r="S107" i="1"/>
  <c r="T107" i="1"/>
  <c r="M106" i="1"/>
  <c r="S106" i="1" l="1"/>
  <c r="R106" i="1"/>
  <c r="T106" i="1"/>
  <c r="M105" i="1"/>
  <c r="R105" i="1" l="1"/>
  <c r="S105" i="1"/>
  <c r="T105" i="1"/>
  <c r="M104" i="1"/>
  <c r="S104" i="1" l="1"/>
  <c r="R104" i="1"/>
  <c r="T104" i="1"/>
  <c r="M103" i="1"/>
  <c r="S103" i="1" l="1"/>
  <c r="R103" i="1"/>
  <c r="T103" i="1"/>
  <c r="M102" i="1"/>
  <c r="S102" i="1" l="1"/>
  <c r="R102" i="1"/>
  <c r="T102" i="1"/>
  <c r="N110" i="1" l="1"/>
  <c r="O110" i="1" s="1"/>
  <c r="N109" i="1"/>
  <c r="O109" i="1" s="1"/>
  <c r="N108" i="1"/>
  <c r="O108" i="1" s="1"/>
  <c r="N107" i="1"/>
  <c r="O107" i="1" s="1"/>
  <c r="N106" i="1"/>
  <c r="O106" i="1" s="1"/>
  <c r="N105" i="1"/>
  <c r="O105" i="1" s="1"/>
  <c r="N104" i="1"/>
  <c r="O104" i="1" s="1"/>
  <c r="N103" i="1"/>
  <c r="O103" i="1" s="1"/>
  <c r="N102" i="1"/>
  <c r="O102" i="1" s="1"/>
  <c r="M101" i="1" l="1"/>
  <c r="S101" i="1" l="1"/>
  <c r="R101" i="1"/>
  <c r="T101" i="1"/>
  <c r="N101" i="1"/>
  <c r="O101" i="1" s="1"/>
  <c r="M100" i="1"/>
  <c r="S100" i="1" l="1"/>
  <c r="R100" i="1"/>
  <c r="T100" i="1"/>
  <c r="N100" i="1"/>
  <c r="O100" i="1" s="1"/>
  <c r="M99" i="1" l="1"/>
  <c r="S99" i="1" l="1"/>
  <c r="R99" i="1"/>
  <c r="T99" i="1"/>
  <c r="N99" i="1"/>
  <c r="O99" i="1" s="1"/>
  <c r="M98" i="1"/>
  <c r="M97" i="1"/>
  <c r="S97" i="1" l="1"/>
  <c r="R97" i="1"/>
  <c r="T97" i="1"/>
  <c r="N98" i="1"/>
  <c r="O98" i="1" s="1"/>
  <c r="R98" i="1"/>
  <c r="S98" i="1"/>
  <c r="T98" i="1"/>
  <c r="N97" i="1"/>
  <c r="O97" i="1" s="1"/>
  <c r="M96" i="1"/>
  <c r="N96" i="1" l="1"/>
  <c r="O96" i="1" s="1"/>
  <c r="S96" i="1"/>
  <c r="R96" i="1"/>
  <c r="T96" i="1"/>
  <c r="M95" i="1"/>
  <c r="N95" i="1" l="1"/>
  <c r="O95" i="1" s="1"/>
  <c r="S95" i="1"/>
  <c r="R95" i="1"/>
  <c r="T95" i="1"/>
  <c r="M94" i="1"/>
  <c r="N94" i="1" l="1"/>
  <c r="O94" i="1" s="1"/>
  <c r="R94" i="1"/>
  <c r="S94" i="1"/>
  <c r="T94" i="1"/>
  <c r="M93" i="1"/>
  <c r="N93" i="1" l="1"/>
  <c r="O93" i="1" s="1"/>
  <c r="S93" i="1"/>
  <c r="R93" i="1"/>
  <c r="T93" i="1"/>
  <c r="M92" i="1"/>
  <c r="S92" i="1" l="1"/>
  <c r="R92" i="1"/>
  <c r="T92" i="1"/>
  <c r="N92" i="1"/>
  <c r="O92" i="1" s="1"/>
  <c r="M91" i="1" l="1"/>
  <c r="N91" i="1" l="1"/>
  <c r="O91" i="1" s="1"/>
  <c r="R91" i="1"/>
  <c r="S91" i="1"/>
  <c r="T91" i="1"/>
  <c r="M90" i="1"/>
  <c r="N90" i="1" l="1"/>
  <c r="O90" i="1" s="1"/>
  <c r="S90" i="1"/>
  <c r="R90" i="1"/>
  <c r="T90" i="1"/>
  <c r="M89" i="1"/>
  <c r="N89" i="1" l="1"/>
  <c r="O89" i="1" s="1"/>
  <c r="S89" i="1"/>
  <c r="R89" i="1"/>
  <c r="T89" i="1"/>
  <c r="M88" i="1"/>
  <c r="N88" i="1" l="1"/>
  <c r="O88" i="1" s="1"/>
  <c r="R88" i="1"/>
  <c r="S88" i="1"/>
  <c r="T88" i="1"/>
  <c r="M87" i="1"/>
  <c r="N87" i="1" l="1"/>
  <c r="O87" i="1" s="1"/>
  <c r="S87" i="1"/>
  <c r="R87" i="1"/>
  <c r="T87" i="1"/>
  <c r="M86" i="1"/>
  <c r="R86" i="1" l="1"/>
  <c r="S86" i="1"/>
  <c r="T86" i="1"/>
  <c r="Y85" i="1"/>
  <c r="N86" i="1"/>
  <c r="O86" i="1" s="1"/>
  <c r="M85" i="1"/>
  <c r="R85" i="1" s="1"/>
  <c r="S85" i="1" l="1"/>
  <c r="Z85" i="1"/>
  <c r="T85" i="1" s="1"/>
  <c r="N85" i="1"/>
  <c r="O85" i="1" s="1"/>
  <c r="M84" i="1" l="1"/>
  <c r="N84" i="1" s="1"/>
  <c r="O84" i="1" s="1"/>
  <c r="M83" i="1" l="1"/>
  <c r="N83" i="1" s="1"/>
  <c r="O83" i="1" s="1"/>
  <c r="M82" i="1"/>
  <c r="N82" i="1" s="1"/>
  <c r="O82" i="1" s="1"/>
  <c r="M81" i="1" l="1"/>
  <c r="N81" i="1" l="1"/>
  <c r="O81" i="1" s="1"/>
  <c r="M80" i="1" l="1"/>
  <c r="N80" i="1" s="1"/>
  <c r="O80" i="1" s="1"/>
  <c r="M79" i="1"/>
  <c r="N79" i="1" s="1"/>
  <c r="O79" i="1" s="1"/>
  <c r="M78" i="1" l="1"/>
  <c r="N78" i="1" s="1"/>
  <c r="O78" i="1" s="1"/>
  <c r="M77" i="1" l="1"/>
  <c r="N77" i="1" s="1"/>
  <c r="O77" i="1" s="1"/>
  <c r="M76" i="1" l="1"/>
  <c r="N76" i="1" s="1"/>
  <c r="O76" i="1" s="1"/>
  <c r="M75" i="1" l="1"/>
  <c r="N75" i="1" s="1"/>
  <c r="O75" i="1" s="1"/>
  <c r="M74" i="1"/>
  <c r="N74" i="1" s="1"/>
  <c r="O74" i="1" s="1"/>
  <c r="M73" i="1" l="1"/>
  <c r="N73" i="1" l="1"/>
  <c r="O73" i="1" s="1"/>
  <c r="M72" i="1" l="1"/>
  <c r="N72" i="1" s="1"/>
  <c r="O72" i="1" s="1"/>
  <c r="M71" i="1" l="1"/>
  <c r="N71" i="1" s="1"/>
  <c r="O71" i="1" s="1"/>
  <c r="M70" i="1"/>
  <c r="N70" i="1" s="1"/>
  <c r="O70" i="1" s="1"/>
  <c r="M69" i="1" l="1"/>
  <c r="N69" i="1" s="1"/>
  <c r="O69" i="1" s="1"/>
  <c r="M68" i="1"/>
  <c r="N68" i="1" s="1"/>
  <c r="O68" i="1" s="1"/>
  <c r="M67" i="1" l="1"/>
  <c r="N67" i="1" s="1"/>
  <c r="O67" i="1" s="1"/>
  <c r="M66" i="1" l="1"/>
  <c r="N66" i="1" s="1"/>
  <c r="O66" i="1" s="1"/>
  <c r="M65" i="1" l="1"/>
  <c r="N65" i="1" s="1"/>
  <c r="O65" i="1" s="1"/>
  <c r="M64" i="1" l="1"/>
  <c r="N64" i="1" s="1"/>
  <c r="O64" i="1" s="1"/>
  <c r="M63" i="1"/>
  <c r="N63" i="1" s="1"/>
  <c r="O63" i="1" s="1"/>
  <c r="M62" i="1" l="1"/>
  <c r="N62" i="1" s="1"/>
  <c r="O62" i="1" s="1"/>
  <c r="M61" i="1" l="1"/>
  <c r="N61" i="1" s="1"/>
  <c r="O61" i="1" s="1"/>
  <c r="M60" i="1" l="1"/>
  <c r="N60" i="1" s="1"/>
  <c r="O60" i="1" s="1"/>
  <c r="M59" i="1"/>
  <c r="N59" i="1" s="1"/>
  <c r="O59" i="1" s="1"/>
  <c r="M58" i="1" l="1"/>
  <c r="N58" i="1" s="1"/>
  <c r="O58" i="1" s="1"/>
  <c r="M57" i="1"/>
  <c r="N57" i="1" s="1"/>
  <c r="O57" i="1" s="1"/>
  <c r="M56" i="1" l="1"/>
  <c r="N56" i="1" s="1"/>
  <c r="O56" i="1" s="1"/>
  <c r="M55" i="1" l="1"/>
  <c r="N55" i="1" s="1"/>
  <c r="O55" i="1" s="1"/>
  <c r="M54" i="1" l="1"/>
  <c r="N54" i="1" s="1"/>
  <c r="O54" i="1" s="1"/>
  <c r="M53" i="1" l="1"/>
  <c r="N53" i="1" s="1"/>
  <c r="O53" i="1" s="1"/>
  <c r="M52" i="1" l="1"/>
  <c r="N52" i="1" l="1"/>
  <c r="O52" i="1" s="1"/>
  <c r="M51" i="1" l="1"/>
  <c r="N51" i="1" s="1"/>
  <c r="O51" i="1" s="1"/>
  <c r="M50" i="1" l="1"/>
  <c r="N50" i="1" s="1"/>
  <c r="O50" i="1" s="1"/>
  <c r="M49" i="1" l="1"/>
  <c r="N49" i="1" s="1"/>
  <c r="O49" i="1" s="1"/>
  <c r="M48" i="1" l="1"/>
  <c r="N48" i="1" l="1"/>
  <c r="O48" i="1" s="1"/>
  <c r="M47" i="1" l="1"/>
  <c r="N47" i="1" s="1"/>
  <c r="O47" i="1" s="1"/>
  <c r="M46" i="1" l="1"/>
  <c r="M45" i="1" l="1"/>
  <c r="N44" i="1" l="1"/>
  <c r="O44" i="1" s="1"/>
  <c r="N46" i="1"/>
  <c r="O46" i="1" s="1"/>
  <c r="N45" i="1"/>
  <c r="O45" i="1" s="1"/>
  <c r="N43" i="1"/>
  <c r="O43" i="1" s="1"/>
  <c r="M42" i="1" l="1"/>
  <c r="N42" i="1" l="1"/>
  <c r="O42" i="1" s="1"/>
  <c r="N41" i="1"/>
  <c r="O41" i="1" s="1"/>
  <c r="M40" i="1" l="1"/>
  <c r="N40" i="1" l="1"/>
  <c r="O40" i="1" s="1"/>
  <c r="M38" i="1" l="1"/>
  <c r="N38" i="1" s="1"/>
  <c r="O38" i="1" s="1"/>
  <c r="M37" i="1" l="1"/>
  <c r="N37" i="1" s="1"/>
  <c r="O37" i="1" s="1"/>
  <c r="M36" i="1"/>
  <c r="N36" i="1" s="1"/>
  <c r="O36" i="1" s="1"/>
  <c r="M35" i="1" l="1"/>
  <c r="N35" i="1" s="1"/>
  <c r="O35" i="1" s="1"/>
  <c r="M34" i="1"/>
  <c r="N34" i="1" s="1"/>
  <c r="O34" i="1" s="1"/>
  <c r="M33" i="1" l="1"/>
  <c r="N33" i="1" s="1"/>
  <c r="O33" i="1" s="1"/>
  <c r="M32" i="1" l="1"/>
  <c r="N32" i="1" s="1"/>
  <c r="O32" i="1" s="1"/>
  <c r="M31" i="1"/>
  <c r="N31" i="1" s="1"/>
  <c r="O31" i="1" s="1"/>
  <c r="M30" i="1" l="1"/>
  <c r="N30" i="1" s="1"/>
  <c r="O30" i="1" s="1"/>
  <c r="M29" i="1" l="1"/>
  <c r="N29" i="1" s="1"/>
  <c r="O29" i="1" s="1"/>
  <c r="M28" i="1" l="1"/>
  <c r="N28" i="1" s="1"/>
  <c r="O28" i="1" s="1"/>
  <c r="M27" i="1" l="1"/>
  <c r="N27" i="1" l="1"/>
  <c r="O27" i="1" s="1"/>
  <c r="M26" i="1" l="1"/>
  <c r="N26" i="1" s="1"/>
  <c r="O26" i="1" s="1"/>
  <c r="M25" i="1"/>
  <c r="N25" i="1" l="1"/>
  <c r="O25" i="1" s="1"/>
  <c r="M22" i="1" l="1"/>
  <c r="N22" i="1" s="1"/>
  <c r="O22" i="1" s="1"/>
  <c r="N24" i="1"/>
  <c r="O24" i="1" s="1"/>
  <c r="N23" i="1"/>
  <c r="O23" i="1" s="1"/>
  <c r="M21" i="1" l="1"/>
  <c r="N21" i="1" l="1"/>
  <c r="O21" i="1" s="1"/>
  <c r="M20" i="1" l="1"/>
  <c r="N20" i="1" s="1"/>
  <c r="O20" i="1" s="1"/>
  <c r="M19" i="1"/>
  <c r="N19" i="1" l="1"/>
  <c r="O19" i="1" s="1"/>
  <c r="M18" i="1"/>
  <c r="N18" i="1" s="1"/>
  <c r="O18" i="1" s="1"/>
  <c r="M17" i="1"/>
  <c r="N17" i="1" s="1"/>
  <c r="O17" i="1" s="1"/>
  <c r="M16" i="1" l="1"/>
  <c r="N16" i="1" s="1"/>
  <c r="O16" i="1" s="1"/>
  <c r="M15" i="1"/>
  <c r="N15" i="1" s="1"/>
  <c r="O15" i="1" s="1"/>
  <c r="M14" i="1" l="1"/>
  <c r="N14" i="1" s="1"/>
  <c r="O14" i="1" s="1"/>
  <c r="M13" i="1" l="1"/>
  <c r="N13" i="1" l="1"/>
  <c r="O13" i="1" s="1"/>
  <c r="M12" i="1" l="1"/>
  <c r="N12" i="1" s="1"/>
  <c r="O12" i="1" s="1"/>
  <c r="M11" i="1" l="1"/>
  <c r="N11" i="1" l="1"/>
  <c r="O11" i="1" s="1"/>
  <c r="M10" i="1" l="1"/>
  <c r="N10" i="1" l="1"/>
  <c r="O10" i="1" s="1"/>
  <c r="N9" i="1"/>
  <c r="O9" i="1" s="1"/>
  <c r="N8" i="1"/>
  <c r="O8" i="1" s="1"/>
  <c r="M7" i="1" l="1"/>
  <c r="N7" i="1" s="1"/>
  <c r="O7" i="1" s="1"/>
  <c r="M6" i="1" l="1"/>
  <c r="N6" i="1" l="1"/>
  <c r="O6" i="1" s="1"/>
  <c r="M5" i="1" l="1"/>
  <c r="N5" i="1" s="1"/>
  <c r="O5" i="1" s="1"/>
  <c r="N4" i="1" l="1"/>
  <c r="O4" i="1" s="1"/>
</calcChain>
</file>

<file path=xl/sharedStrings.xml><?xml version="1.0" encoding="utf-8"?>
<sst xmlns="http://schemas.openxmlformats.org/spreadsheetml/2006/main" count="787" uniqueCount="234">
  <si>
    <t>UniqueID</t>
  </si>
  <si>
    <t>Extraction Run</t>
  </si>
  <si>
    <t>Strain</t>
  </si>
  <si>
    <t>Lot Number</t>
  </si>
  <si>
    <t>Time (mins)</t>
  </si>
  <si>
    <t>PSI</t>
  </si>
  <si>
    <t>Col1/2</t>
  </si>
  <si>
    <t>Mass CO2 Used (lbs)</t>
  </si>
  <si>
    <t>CO2 Used (kg)</t>
  </si>
  <si>
    <t>BW</t>
  </si>
  <si>
    <r>
      <t>Temp (</t>
    </r>
    <r>
      <rPr>
        <b/>
        <sz val="11"/>
        <color theme="0" tint="-4.9989318521683403E-2"/>
        <rFont val="Calibri"/>
        <family val="2"/>
      </rPr>
      <t>°C)</t>
    </r>
  </si>
  <si>
    <t>User Input Field</t>
  </si>
  <si>
    <t>Autopopulate</t>
  </si>
  <si>
    <t>THC</t>
  </si>
  <si>
    <t>CBD</t>
  </si>
  <si>
    <t>CBN</t>
  </si>
  <si>
    <t>Program Used 0/1</t>
  </si>
  <si>
    <t>0= No</t>
  </si>
  <si>
    <t>1=Yes</t>
  </si>
  <si>
    <t>2018/01/11</t>
  </si>
  <si>
    <t>2018/01/10</t>
  </si>
  <si>
    <t>2018/01/09</t>
  </si>
  <si>
    <t>Notes</t>
  </si>
  <si>
    <t>New smaller tanks were used. Only two tanks used</t>
  </si>
  <si>
    <t>kg CO2/min</t>
  </si>
  <si>
    <t>Extraction Date (yyyy/mm/dd)</t>
  </si>
  <si>
    <t>2018/01/15</t>
  </si>
  <si>
    <t>JOG</t>
  </si>
  <si>
    <t xml:space="preserve">decarbed cannabis was milled in July 2017- particle size is smaller than typical of more recent batches due to change in mill screen pore size. </t>
  </si>
  <si>
    <t>Input Mass (g)</t>
  </si>
  <si>
    <t>Output Spent Mass (g)</t>
  </si>
  <si>
    <t>extraction run simultaneously with JOG255run4</t>
  </si>
  <si>
    <t>extraction run simultaneously with JOG255run3</t>
  </si>
  <si>
    <t>2018/01/16</t>
  </si>
  <si>
    <t>Used two tanks only</t>
  </si>
  <si>
    <t>Spent material input</t>
  </si>
  <si>
    <t>2018/01/17</t>
  </si>
  <si>
    <t>pairs of CO2 tanks staggered</t>
  </si>
  <si>
    <t>2018/01/18</t>
  </si>
  <si>
    <t>2018/01/23</t>
  </si>
  <si>
    <t>2018/01/24</t>
  </si>
  <si>
    <t>2018/01/25</t>
  </si>
  <si>
    <t>2018/02/13</t>
  </si>
  <si>
    <t>TI</t>
  </si>
  <si>
    <t>2018/02/14</t>
  </si>
  <si>
    <t>Extraction Efficiency</t>
  </si>
  <si>
    <t>re-extract JOG348-1</t>
  </si>
  <si>
    <t>Spent Moisture</t>
  </si>
  <si>
    <t>2018/03/21</t>
  </si>
  <si>
    <t>2018/03/22</t>
  </si>
  <si>
    <t>2018/03/28</t>
  </si>
  <si>
    <t>2018/03/29</t>
  </si>
  <si>
    <t>2018/04/02</t>
  </si>
  <si>
    <t>AD</t>
  </si>
  <si>
    <t>re-extract AD 614 #1</t>
  </si>
  <si>
    <t>2018/04/03</t>
  </si>
  <si>
    <t>N2</t>
  </si>
  <si>
    <t>2018/04/26</t>
  </si>
  <si>
    <t>2018/04/27</t>
  </si>
  <si>
    <t>2018/05/01</t>
  </si>
  <si>
    <t>AH</t>
  </si>
  <si>
    <t>2018/05/03</t>
  </si>
  <si>
    <t>2018/05/07</t>
  </si>
  <si>
    <t>NL</t>
  </si>
  <si>
    <t>2018/05/08</t>
  </si>
  <si>
    <t>2018/05/10</t>
  </si>
  <si>
    <t>2018/05/14</t>
  </si>
  <si>
    <t>2018/05/16</t>
  </si>
  <si>
    <t>2018/05/17</t>
  </si>
  <si>
    <t>2018/05/21</t>
  </si>
  <si>
    <t>2018/05/22</t>
  </si>
  <si>
    <t>2018/05/31</t>
  </si>
  <si>
    <t>2018/06/05</t>
  </si>
  <si>
    <t>2018/06/06</t>
  </si>
  <si>
    <t>2018/06/07</t>
  </si>
  <si>
    <t>2018/06/11</t>
  </si>
  <si>
    <t>Marble Diffuser (1/0)</t>
  </si>
  <si>
    <t>2018/06/18</t>
  </si>
  <si>
    <t>2018/06/19</t>
  </si>
  <si>
    <t>2018/06/20</t>
  </si>
  <si>
    <t>SB</t>
  </si>
  <si>
    <t>2018/06/28</t>
  </si>
  <si>
    <t>2018/07/05</t>
  </si>
  <si>
    <t xml:space="preserve">S </t>
  </si>
  <si>
    <t>2018/07/06</t>
  </si>
  <si>
    <t>1 Co2 PUMP</t>
  </si>
  <si>
    <t>waited till column 1 reached 5000 then began program</t>
  </si>
  <si>
    <t>2018/07/27</t>
  </si>
  <si>
    <t>MB</t>
  </si>
  <si>
    <t>2018/08/07</t>
  </si>
  <si>
    <t>HB</t>
  </si>
  <si>
    <t>2018/08/08</t>
  </si>
  <si>
    <t>2018/08/10</t>
  </si>
  <si>
    <t>2018/08/13</t>
  </si>
  <si>
    <t>2018/08/16</t>
  </si>
  <si>
    <t>2018/08/14</t>
  </si>
  <si>
    <t>2018/08/15</t>
  </si>
  <si>
    <t>2018/08/29</t>
  </si>
  <si>
    <t>2018/08/31</t>
  </si>
  <si>
    <t>2018/09/06</t>
  </si>
  <si>
    <t>2018/09/07</t>
  </si>
  <si>
    <t xml:space="preserve">NL </t>
  </si>
  <si>
    <t>2018/08/30</t>
  </si>
  <si>
    <t>2018/09/11</t>
  </si>
  <si>
    <t>2018/09/12</t>
  </si>
  <si>
    <t>2019/09/17</t>
  </si>
  <si>
    <t>2018/09/17</t>
  </si>
  <si>
    <t>2018/09/18</t>
  </si>
  <si>
    <t>2018/09/20</t>
  </si>
  <si>
    <t>2018/09/24</t>
  </si>
  <si>
    <t>2018/09/25</t>
  </si>
  <si>
    <t>2018/09/26</t>
  </si>
  <si>
    <t>2018/09/27</t>
  </si>
  <si>
    <t>857(2)</t>
  </si>
  <si>
    <t>2018/10/03</t>
  </si>
  <si>
    <t>2018/10/04</t>
  </si>
  <si>
    <t>2018/10/05</t>
  </si>
  <si>
    <t>2018/10/10</t>
  </si>
  <si>
    <t>2018/10/11</t>
  </si>
  <si>
    <t>2018/10/15</t>
  </si>
  <si>
    <t>2018/10/17</t>
  </si>
  <si>
    <t>2018/10/18</t>
  </si>
  <si>
    <t>2018/10/19</t>
  </si>
  <si>
    <t>2018/10/22</t>
  </si>
  <si>
    <t xml:space="preserve">SK </t>
  </si>
  <si>
    <t>2018/10/23</t>
  </si>
  <si>
    <t>2018/10/26</t>
  </si>
  <si>
    <t xml:space="preserve">N2 </t>
  </si>
  <si>
    <t>2018/10/29</t>
  </si>
  <si>
    <t>2018/11/06</t>
  </si>
  <si>
    <t>1PUMP</t>
  </si>
  <si>
    <t>2018/11/08</t>
  </si>
  <si>
    <t>2018/11/12</t>
  </si>
  <si>
    <t>2pump</t>
  </si>
  <si>
    <t>1 pump</t>
  </si>
  <si>
    <t>2018/11/13</t>
  </si>
  <si>
    <t>2018/11/14</t>
  </si>
  <si>
    <t>2018/11/16</t>
  </si>
  <si>
    <t>2018/11/19</t>
  </si>
  <si>
    <t>2018/11/20</t>
  </si>
  <si>
    <t>2018/11/21</t>
  </si>
  <si>
    <t>2018/11/26</t>
  </si>
  <si>
    <t>2018/11/27</t>
  </si>
  <si>
    <t>2018/11/28</t>
  </si>
  <si>
    <t>2018/11/30</t>
  </si>
  <si>
    <t>2018/12/03</t>
  </si>
  <si>
    <t>Input % (anhydrous)</t>
  </si>
  <si>
    <t>2018/12/12</t>
  </si>
  <si>
    <t>NN</t>
  </si>
  <si>
    <t>208/12/13</t>
  </si>
  <si>
    <t>2018/12/13</t>
  </si>
  <si>
    <t>Output % (anhydrous)</t>
  </si>
  <si>
    <t>2018/12/14</t>
  </si>
  <si>
    <t>2018/12/17</t>
  </si>
  <si>
    <t>2018/12/18</t>
  </si>
  <si>
    <t>Decarb Moisture</t>
  </si>
  <si>
    <t>Decarb % (as is)</t>
  </si>
  <si>
    <t>Spent % (as is)</t>
  </si>
  <si>
    <t>2018/12/20</t>
  </si>
  <si>
    <t>% Mass Extracted</t>
  </si>
  <si>
    <t>TEMP</t>
  </si>
  <si>
    <t>2018/12/21</t>
  </si>
  <si>
    <t>2019/01/02</t>
  </si>
  <si>
    <t>2019/01/03</t>
  </si>
  <si>
    <t>2019/01/09</t>
  </si>
  <si>
    <t>1PMP</t>
  </si>
  <si>
    <t>2019/01/10</t>
  </si>
  <si>
    <t>massCO2/g THC</t>
  </si>
  <si>
    <t>massCO2/g CBD</t>
  </si>
  <si>
    <t>massCO2/g CBN</t>
  </si>
  <si>
    <t>Night</t>
  </si>
  <si>
    <t>2PMP</t>
  </si>
  <si>
    <t>`2019/01/14</t>
  </si>
  <si>
    <t>2019/01/14</t>
  </si>
  <si>
    <t>CBD=1</t>
  </si>
  <si>
    <t>2019/01/15</t>
  </si>
  <si>
    <t>2019/01/17</t>
  </si>
  <si>
    <t>2019/01/18</t>
  </si>
  <si>
    <t>2019/01/22</t>
  </si>
  <si>
    <t>2019/01/23</t>
  </si>
  <si>
    <t>2019/01/24</t>
  </si>
  <si>
    <t>2019/01/28</t>
  </si>
  <si>
    <t>2019/01/29</t>
  </si>
  <si>
    <t>2019/01/31</t>
  </si>
  <si>
    <t>2019/02/01</t>
  </si>
  <si>
    <t>2019/02/04</t>
  </si>
  <si>
    <t>2019/02/05</t>
  </si>
  <si>
    <t>2019/02/06</t>
  </si>
  <si>
    <t>2019/02/07</t>
  </si>
  <si>
    <t>2019/02/08</t>
  </si>
  <si>
    <t>2019/02/11</t>
  </si>
  <si>
    <t>2019/02/12</t>
  </si>
  <si>
    <t>2019/02/13</t>
  </si>
  <si>
    <t>2019/02/14</t>
  </si>
  <si>
    <t>2019/02/15</t>
  </si>
  <si>
    <t>2019/02.19</t>
  </si>
  <si>
    <t>2019'02'20</t>
  </si>
  <si>
    <t>2019/02/20</t>
  </si>
  <si>
    <t>2019/02/22</t>
  </si>
  <si>
    <t>2019/02/23</t>
  </si>
  <si>
    <t>2019/02/24</t>
  </si>
  <si>
    <t>27/02/2019</t>
  </si>
  <si>
    <t>28/02/2019</t>
  </si>
  <si>
    <t>01/03/2019</t>
  </si>
  <si>
    <t>2019-MAR-4</t>
  </si>
  <si>
    <t>2019-MAR-5</t>
  </si>
  <si>
    <t>2019-MAR-6</t>
  </si>
  <si>
    <t>2019-MAR-7</t>
  </si>
  <si>
    <t>2019-MAR-11</t>
  </si>
  <si>
    <t>2019-MAR-12</t>
  </si>
  <si>
    <t>2019-MAR-18</t>
  </si>
  <si>
    <t>ex-1-1</t>
  </si>
  <si>
    <t>ex-1-2</t>
  </si>
  <si>
    <t>ex-3-1</t>
  </si>
  <si>
    <t>ex-3-2</t>
  </si>
  <si>
    <t>Ex-2-1</t>
  </si>
  <si>
    <t>ex-2-2</t>
  </si>
  <si>
    <t>EX-4-1</t>
  </si>
  <si>
    <t>2019-MAR-19</t>
  </si>
  <si>
    <t>2019-MAR-20</t>
  </si>
  <si>
    <t>2019-MAR-21</t>
  </si>
  <si>
    <t>10-0</t>
  </si>
  <si>
    <t>EX-4-2</t>
  </si>
  <si>
    <t>2019-MAR-22</t>
  </si>
  <si>
    <t>EX-5-1</t>
  </si>
  <si>
    <t>EX-5-2</t>
  </si>
  <si>
    <t>EX-6-1</t>
  </si>
  <si>
    <t>EX-6-2</t>
  </si>
  <si>
    <t>2019-MAR-23</t>
  </si>
  <si>
    <t>EX-7-1</t>
  </si>
  <si>
    <t>EX-7-2</t>
  </si>
  <si>
    <t>2019-MAR-25</t>
  </si>
  <si>
    <t>EX-8-2</t>
  </si>
  <si>
    <t>EX-8-1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</si>
</sst>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%"/>
    <numFmt numFmtId="167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B9C"/>
      </patternFill>
    </fill>
  </fills>
  <borders count="2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7" fillId="11" borderId="0" applyNumberFormat="0" applyBorder="0" applyAlignment="0" applyProtection="0"/>
  </cellStyleXfs>
  <cellXfs count="235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quotePrefix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14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4" borderId="0" xfId="0" applyFill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0" fontId="0" fillId="7" borderId="0" xfId="0" quotePrefix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5" fontId="0" fillId="7" borderId="0" xfId="0" applyNumberFormat="1" applyFill="1" applyAlignment="1">
      <alignment horizontal="center" vertical="center"/>
    </xf>
    <xf numFmtId="0" fontId="0" fillId="8" borderId="0" xfId="0" quotePrefix="1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165" fontId="0" fillId="8" borderId="0" xfId="0" applyNumberFormat="1" applyFill="1" applyAlignment="1">
      <alignment horizontal="center" vertical="center"/>
    </xf>
    <xf numFmtId="14" fontId="0" fillId="7" borderId="0" xfId="0" quotePrefix="1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14" fontId="5" fillId="8" borderId="0" xfId="0" applyNumberFormat="1" applyFont="1" applyFill="1" applyAlignment="1">
      <alignment horizontal="center" vertical="center"/>
    </xf>
    <xf numFmtId="0" fontId="5" fillId="8" borderId="0" xfId="0" quotePrefix="1" applyFon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66" fontId="0" fillId="4" borderId="0" xfId="1" applyNumberFormat="1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9" fontId="0" fillId="8" borderId="0" xfId="1" applyFont="1" applyFill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3" xfId="0" quotePrefix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6" xfId="0" quotePrefix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4" fontId="0" fillId="7" borderId="3" xfId="0" applyNumberFormat="1" applyFill="1" applyBorder="1" applyAlignment="1">
      <alignment horizontal="center" vertical="center"/>
    </xf>
    <xf numFmtId="14" fontId="0" fillId="7" borderId="6" xfId="0" applyNumberFormat="1" applyFill="1" applyBorder="1" applyAlignment="1">
      <alignment horizontal="center" vertical="center"/>
    </xf>
    <xf numFmtId="0" fontId="0" fillId="7" borderId="3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3" xfId="0" quotePrefix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quotePrefix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4" fontId="0" fillId="8" borderId="3" xfId="0" applyNumberFormat="1" applyFill="1" applyBorder="1" applyAlignment="1">
      <alignment horizontal="center" vertical="center"/>
    </xf>
    <xf numFmtId="165" fontId="0" fillId="7" borderId="3" xfId="0" applyNumberFormat="1" applyFill="1" applyBorder="1" applyAlignment="1">
      <alignment horizontal="center" vertical="center"/>
    </xf>
    <xf numFmtId="165" fontId="0" fillId="7" borderId="6" xfId="0" applyNumberFormat="1" applyFill="1" applyBorder="1" applyAlignment="1">
      <alignment horizontal="center" vertical="center"/>
    </xf>
    <xf numFmtId="9" fontId="0" fillId="10" borderId="0" xfId="1" applyFont="1" applyFill="1" applyAlignment="1">
      <alignment horizontal="center" vertical="center"/>
    </xf>
    <xf numFmtId="9" fontId="0" fillId="8" borderId="3" xfId="1" applyFont="1" applyFill="1" applyBorder="1" applyAlignment="1">
      <alignment horizontal="center" vertical="center"/>
    </xf>
    <xf numFmtId="9" fontId="0" fillId="8" borderId="6" xfId="1" applyFont="1" applyFill="1" applyBorder="1" applyAlignment="1">
      <alignment horizontal="center" vertical="center"/>
    </xf>
    <xf numFmtId="166" fontId="0" fillId="8" borderId="3" xfId="1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166" fontId="0" fillId="8" borderId="0" xfId="1" applyNumberFormat="1" applyFont="1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166" fontId="0" fillId="8" borderId="6" xfId="1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9" fontId="0" fillId="7" borderId="0" xfId="1" applyFont="1" applyFill="1" applyAlignment="1">
      <alignment horizontal="center" vertical="center"/>
    </xf>
    <xf numFmtId="166" fontId="0" fillId="7" borderId="3" xfId="1" applyNumberFormat="1" applyFont="1" applyFill="1" applyBorder="1" applyAlignment="1">
      <alignment horizontal="center" vertical="center"/>
    </xf>
    <xf numFmtId="166" fontId="0" fillId="7" borderId="0" xfId="1" applyNumberFormat="1" applyFont="1" applyFill="1" applyAlignment="1">
      <alignment horizontal="center" vertical="center"/>
    </xf>
    <xf numFmtId="166" fontId="0" fillId="7" borderId="6" xfId="1" applyNumberFormat="1" applyFont="1" applyFill="1" applyBorder="1" applyAlignment="1">
      <alignment horizontal="center" vertical="center"/>
    </xf>
    <xf numFmtId="9" fontId="0" fillId="7" borderId="3" xfId="1" applyFont="1" applyFill="1" applyBorder="1" applyAlignment="1">
      <alignment horizontal="center" vertical="center"/>
    </xf>
    <xf numFmtId="9" fontId="0" fillId="7" borderId="6" xfId="1" applyFont="1" applyFill="1" applyBorder="1" applyAlignment="1">
      <alignment horizontal="center" vertical="center"/>
    </xf>
    <xf numFmtId="9" fontId="0" fillId="9" borderId="0" xfId="1" applyFont="1" applyFill="1" applyAlignment="1">
      <alignment horizontal="center" vertical="center"/>
    </xf>
    <xf numFmtId="166" fontId="0" fillId="9" borderId="3" xfId="1" applyNumberFormat="1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166" fontId="0" fillId="9" borderId="0" xfId="1" applyNumberFormat="1" applyFont="1" applyFill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166" fontId="0" fillId="9" borderId="6" xfId="1" applyNumberFormat="1" applyFont="1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9" fontId="0" fillId="9" borderId="3" xfId="1" applyFont="1" applyFill="1" applyBorder="1" applyAlignment="1">
      <alignment horizontal="center" vertical="center"/>
    </xf>
    <xf numFmtId="9" fontId="0" fillId="9" borderId="6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7" fontId="0" fillId="8" borderId="0" xfId="0" applyNumberFormat="1" applyFill="1" applyAlignment="1">
      <alignment horizontal="center" vertical="center"/>
    </xf>
    <xf numFmtId="167" fontId="0" fillId="8" borderId="3" xfId="0" applyNumberFormat="1" applyFill="1" applyBorder="1" applyAlignment="1">
      <alignment horizontal="center" vertical="center"/>
    </xf>
    <xf numFmtId="167" fontId="0" fillId="7" borderId="0" xfId="0" applyNumberFormat="1" applyFill="1" applyAlignment="1">
      <alignment horizontal="center" vertical="center"/>
    </xf>
    <xf numFmtId="165" fontId="8" fillId="7" borderId="4" xfId="2" applyNumberFormat="1" applyFont="1" applyFill="1" applyBorder="1"/>
    <xf numFmtId="165" fontId="8" fillId="7" borderId="1" xfId="2" applyNumberFormat="1" applyFont="1" applyFill="1" applyBorder="1"/>
    <xf numFmtId="165" fontId="8" fillId="7" borderId="7" xfId="2" applyNumberFormat="1" applyFont="1" applyFill="1" applyBorder="1"/>
    <xf numFmtId="165" fontId="0" fillId="7" borderId="4" xfId="0" applyNumberFormat="1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165" fontId="0" fillId="7" borderId="7" xfId="0" applyNumberFormat="1" applyFill="1" applyBorder="1" applyAlignment="1">
      <alignment horizontal="center" vertical="center"/>
    </xf>
    <xf numFmtId="165" fontId="0" fillId="7" borderId="5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7" borderId="8" xfId="0" applyNumberFormat="1" applyFill="1" applyBorder="1" applyAlignment="1">
      <alignment horizontal="center" vertical="center"/>
    </xf>
    <xf numFmtId="165" fontId="0" fillId="8" borderId="4" xfId="0" applyNumberForma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5" fontId="0" fillId="8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9" borderId="3" xfId="0" applyNumberFormat="1" applyFill="1" applyBorder="1" applyAlignment="1">
      <alignment horizontal="center" vertical="center"/>
    </xf>
    <xf numFmtId="165" fontId="0" fillId="9" borderId="0" xfId="0" applyNumberFormat="1" applyFill="1" applyAlignment="1">
      <alignment horizontal="center" vertical="center"/>
    </xf>
    <xf numFmtId="167" fontId="0" fillId="9" borderId="0" xfId="0" applyNumberFormat="1" applyFill="1" applyAlignment="1">
      <alignment horizontal="center" vertical="center"/>
    </xf>
    <xf numFmtId="167" fontId="0" fillId="9" borderId="2" xfId="0" applyNumberFormat="1" applyFill="1" applyBorder="1" applyAlignment="1">
      <alignment horizontal="center" vertical="center"/>
    </xf>
    <xf numFmtId="165" fontId="0" fillId="9" borderId="6" xfId="0" applyNumberFormat="1" applyFill="1" applyBorder="1" applyAlignment="1">
      <alignment horizontal="center" vertical="center"/>
    </xf>
    <xf numFmtId="14" fontId="0" fillId="9" borderId="6" xfId="0" applyNumberFormat="1" applyFill="1" applyBorder="1" applyAlignment="1">
      <alignment horizontal="center" vertical="center"/>
    </xf>
    <xf numFmtId="167" fontId="0" fillId="7" borderId="2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7" fontId="0" fillId="9" borderId="6" xfId="0" applyNumberForma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14" fontId="5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9" fontId="0" fillId="8" borderId="10" xfId="1" applyFont="1" applyFill="1" applyBorder="1" applyAlignment="1">
      <alignment horizontal="center" vertical="center"/>
    </xf>
    <xf numFmtId="166" fontId="0" fillId="8" borderId="10" xfId="1" applyNumberFormat="1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8" borderId="15" xfId="0" quotePrefix="1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9" fontId="0" fillId="8" borderId="15" xfId="1" applyFont="1" applyFill="1" applyBorder="1" applyAlignment="1">
      <alignment horizontal="center" vertical="center"/>
    </xf>
    <xf numFmtId="166" fontId="0" fillId="8" borderId="15" xfId="1" applyNumberFormat="1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0" xfId="0" quotePrefix="1" applyFill="1" applyBorder="1" applyAlignment="1">
      <alignment horizontal="center" vertical="center"/>
    </xf>
    <xf numFmtId="9" fontId="0" fillId="7" borderId="10" xfId="1" applyFont="1" applyFill="1" applyBorder="1" applyAlignment="1">
      <alignment horizontal="center" vertical="center"/>
    </xf>
    <xf numFmtId="166" fontId="0" fillId="7" borderId="10" xfId="1" applyNumberFormat="1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5" xfId="0" quotePrefix="1" applyFill="1" applyBorder="1" applyAlignment="1">
      <alignment horizontal="center" vertical="center"/>
    </xf>
    <xf numFmtId="9" fontId="0" fillId="7" borderId="15" xfId="1" applyFont="1" applyFill="1" applyBorder="1" applyAlignment="1">
      <alignment horizontal="center" vertical="center"/>
    </xf>
    <xf numFmtId="166" fontId="0" fillId="7" borderId="15" xfId="1" applyNumberFormat="1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5" xfId="0" quotePrefix="1" applyFill="1" applyBorder="1" applyAlignment="1">
      <alignment horizontal="center" vertical="center"/>
    </xf>
    <xf numFmtId="9" fontId="0" fillId="9" borderId="15" xfId="1" applyFont="1" applyFill="1" applyBorder="1" applyAlignment="1">
      <alignment horizontal="center" vertical="center"/>
    </xf>
    <xf numFmtId="166" fontId="0" fillId="9" borderId="15" xfId="1" applyNumberFormat="1" applyFon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8" borderId="10" xfId="0" quotePrefix="1" applyFill="1" applyBorder="1" applyAlignment="1">
      <alignment horizontal="center" vertical="center"/>
    </xf>
    <xf numFmtId="0" fontId="0" fillId="8" borderId="15" xfId="0" quotePrefix="1" applyFill="1" applyBorder="1" applyAlignment="1">
      <alignment horizontal="center" vertical="center"/>
    </xf>
    <xf numFmtId="165" fontId="0" fillId="7" borderId="10" xfId="0" applyNumberFormat="1" applyFill="1" applyBorder="1" applyAlignment="1">
      <alignment horizontal="center" vertical="center"/>
    </xf>
    <xf numFmtId="165" fontId="0" fillId="7" borderId="15" xfId="0" applyNumberFormat="1" applyFill="1" applyBorder="1" applyAlignment="1">
      <alignment horizontal="center" vertical="center"/>
    </xf>
    <xf numFmtId="167" fontId="0" fillId="8" borderId="10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64" fontId="0" fillId="8" borderId="10" xfId="0" applyNumberFormat="1" applyFill="1" applyBorder="1" applyAlignment="1">
      <alignment horizontal="center" vertical="center"/>
    </xf>
    <xf numFmtId="165" fontId="0" fillId="8" borderId="10" xfId="0" applyNumberFormat="1" applyFill="1" applyBorder="1" applyAlignment="1">
      <alignment horizontal="center" vertical="center"/>
    </xf>
    <xf numFmtId="164" fontId="0" fillId="7" borderId="10" xfId="0" applyNumberFormat="1" applyFill="1" applyBorder="1" applyAlignment="1">
      <alignment horizontal="center" vertical="center"/>
    </xf>
    <xf numFmtId="14" fontId="0" fillId="7" borderId="15" xfId="0" quotePrefix="1" applyNumberFormat="1" applyFill="1" applyBorder="1" applyAlignment="1">
      <alignment horizontal="center" vertical="center"/>
    </xf>
    <xf numFmtId="164" fontId="0" fillId="7" borderId="15" xfId="0" applyNumberFormat="1" applyFill="1" applyBorder="1" applyAlignment="1">
      <alignment horizontal="center" vertical="center"/>
    </xf>
    <xf numFmtId="14" fontId="0" fillId="7" borderId="10" xfId="0" quotePrefix="1" applyNumberFormat="1" applyFill="1" applyBorder="1" applyAlignment="1">
      <alignment horizontal="center" vertical="center"/>
    </xf>
    <xf numFmtId="164" fontId="0" fillId="8" borderId="15" xfId="0" applyNumberFormat="1" applyFill="1" applyBorder="1" applyAlignment="1">
      <alignment horizontal="center" vertical="center"/>
    </xf>
    <xf numFmtId="165" fontId="0" fillId="8" borderId="15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quotePrefix="1" applyFill="1" applyBorder="1" applyAlignment="1">
      <alignment horizontal="center" vertical="center"/>
    </xf>
    <xf numFmtId="164" fontId="0" fillId="7" borderId="19" xfId="0" applyNumberFormat="1" applyFill="1" applyBorder="1" applyAlignment="1">
      <alignment horizontal="center" vertical="center"/>
    </xf>
    <xf numFmtId="165" fontId="0" fillId="7" borderId="19" xfId="0" applyNumberFormat="1" applyFill="1" applyBorder="1" applyAlignment="1">
      <alignment horizontal="center" vertical="center"/>
    </xf>
    <xf numFmtId="9" fontId="0" fillId="7" borderId="19" xfId="1" applyFont="1" applyFill="1" applyBorder="1" applyAlignment="1">
      <alignment horizontal="center" vertical="center"/>
    </xf>
    <xf numFmtId="166" fontId="0" fillId="7" borderId="19" xfId="1" applyNumberFormat="1" applyFont="1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167" fontId="0" fillId="7" borderId="10" xfId="0" applyNumberFormat="1" applyFill="1" applyBorder="1" applyAlignment="1">
      <alignment horizontal="center" vertical="center"/>
    </xf>
    <xf numFmtId="167" fontId="0" fillId="7" borderId="15" xfId="0" applyNumberFormat="1" applyFill="1" applyBorder="1" applyAlignment="1">
      <alignment horizontal="center" vertical="center"/>
    </xf>
    <xf numFmtId="165" fontId="0" fillId="7" borderId="17" xfId="0" applyNumberFormat="1" applyFill="1" applyBorder="1" applyAlignment="1">
      <alignment horizontal="center" vertical="center"/>
    </xf>
    <xf numFmtId="165" fontId="0" fillId="8" borderId="12" xfId="0" applyNumberFormat="1" applyFill="1" applyBorder="1" applyAlignment="1">
      <alignment horizontal="center" vertical="center"/>
    </xf>
    <xf numFmtId="165" fontId="0" fillId="8" borderId="17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9" borderId="10" xfId="0" quotePrefix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167" fontId="0" fillId="7" borderId="12" xfId="0" applyNumberFormat="1" applyFill="1" applyBorder="1" applyAlignment="1">
      <alignment horizontal="center" vertical="center"/>
    </xf>
    <xf numFmtId="9" fontId="0" fillId="9" borderId="10" xfId="1" applyFont="1" applyFill="1" applyBorder="1" applyAlignment="1">
      <alignment horizontal="center" vertical="center"/>
    </xf>
    <xf numFmtId="14" fontId="0" fillId="7" borderId="10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165" fontId="0" fillId="9" borderId="1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3"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0099"/>
      <color rgb="FF66FF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42919400699912513"/>
                  <c:y val="-0.224748104403616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rawData!$R$100:$R$365</c:f>
              <c:strCache>
                <c:ptCount val="258"/>
                <c:pt idx="0">
                  <c:v>0.274082674</c:v>
                </c:pt>
                <c:pt idx="1">
                  <c:v>0.25348593</c:v>
                </c:pt>
                <c:pt idx="2">
                  <c:v>0.25226204</c:v>
                </c:pt>
                <c:pt idx="3">
                  <c:v>9.806843787</c:v>
                </c:pt>
                <c:pt idx="4">
                  <c:v>12.06565504</c:v>
                </c:pt>
                <c:pt idx="5">
                  <c:v>10.74549264</c:v>
                </c:pt>
                <c:pt idx="6">
                  <c:v>11.00715465</c:v>
                </c:pt>
                <c:pt idx="7">
                  <c:v>7.858803997</c:v>
                </c:pt>
                <c:pt idx="8">
                  <c:v>12.86997551</c:v>
                </c:pt>
                <c:pt idx="9">
                  <c:v>9.144813892</c:v>
                </c:pt>
                <c:pt idx="10">
                  <c:v>10.85768086</c:v>
                </c:pt>
                <c:pt idx="11">
                  <c:v>13.45786343</c:v>
                </c:pt>
                <c:pt idx="12">
                  <c:v>12.36650478</c:v>
                </c:pt>
                <c:pt idx="13">
                  <c:v>0.322763203</c:v>
                </c:pt>
                <c:pt idx="14">
                  <c:v>0.224880327</c:v>
                </c:pt>
                <c:pt idx="15">
                  <c:v>0.464154886</c:v>
                </c:pt>
                <c:pt idx="16">
                  <c:v>0.326010516</c:v>
                </c:pt>
                <c:pt idx="17">
                  <c:v>0.381015999</c:v>
                </c:pt>
                <c:pt idx="18">
                  <c:v>0.374558101</c:v>
                </c:pt>
                <c:pt idx="19">
                  <c:v>0.389885876</c:v>
                </c:pt>
                <c:pt idx="20">
                  <c:v>0.406592309</c:v>
                </c:pt>
                <c:pt idx="21">
                  <c:v>0.42736257</c:v>
                </c:pt>
                <c:pt idx="22">
                  <c:v>0.416274512</c:v>
                </c:pt>
                <c:pt idx="23">
                  <c:v>0.454784591</c:v>
                </c:pt>
                <c:pt idx="24">
                  <c:v>1.140860894</c:v>
                </c:pt>
                <c:pt idx="25">
                  <c:v>0.402144556</c:v>
                </c:pt>
                <c:pt idx="26">
                  <c:v>0.40294511</c:v>
                </c:pt>
                <c:pt idx="27">
                  <c:v>0.50737416</c:v>
                </c:pt>
                <c:pt idx="28">
                  <c:v>0.401347178</c:v>
                </c:pt>
                <c:pt idx="29">
                  <c:v>0.442890987</c:v>
                </c:pt>
                <c:pt idx="30">
                  <c:v>0.417471556</c:v>
                </c:pt>
                <c:pt idx="31">
                  <c:v>0.434129042</c:v>
                </c:pt>
                <c:pt idx="32">
                  <c:v>0.402169509</c:v>
                </c:pt>
                <c:pt idx="33">
                  <c:v>0.416133822</c:v>
                </c:pt>
                <c:pt idx="34">
                  <c:v>0.434853459</c:v>
                </c:pt>
                <c:pt idx="35">
                  <c:v>0.432192958</c:v>
                </c:pt>
                <c:pt idx="36">
                  <c:v>0.394476952</c:v>
                </c:pt>
                <c:pt idx="37">
                  <c:v>0.34556183</c:v>
                </c:pt>
                <c:pt idx="38">
                  <c:v>0.362654296</c:v>
                </c:pt>
                <c:pt idx="39">
                  <c:v>9.705089334</c:v>
                </c:pt>
                <c:pt idx="40">
                  <c:v>7.127446448</c:v>
                </c:pt>
                <c:pt idx="41">
                  <c:v>7.970545768</c:v>
                </c:pt>
                <c:pt idx="42">
                  <c:v>6.600501638</c:v>
                </c:pt>
                <c:pt idx="43">
                  <c:v>6.959223301</c:v>
                </c:pt>
                <c:pt idx="50">
                  <c:v>6.961849067</c:v>
                </c:pt>
                <c:pt idx="51">
                  <c:v>6.462954346</c:v>
                </c:pt>
                <c:pt idx="52">
                  <c:v>0.380180309</c:v>
                </c:pt>
                <c:pt idx="53">
                  <c:v>0.343505007</c:v>
                </c:pt>
                <c:pt idx="54">
                  <c:v>0.50162062</c:v>
                </c:pt>
                <c:pt idx="55">
                  <c:v>8.277144258</c:v>
                </c:pt>
                <c:pt idx="56">
                  <c:v>8.277144258</c:v>
                </c:pt>
                <c:pt idx="57">
                  <c:v>0.889133857</c:v>
                </c:pt>
                <c:pt idx="58">
                  <c:v>0.616133042</c:v>
                </c:pt>
                <c:pt idx="59">
                  <c:v>0.489445356</c:v>
                </c:pt>
                <c:pt idx="60">
                  <c:v>0.489953984</c:v>
                </c:pt>
                <c:pt idx="61">
                  <c:v>0.49554505</c:v>
                </c:pt>
                <c:pt idx="62">
                  <c:v>0.316875132</c:v>
                </c:pt>
                <c:pt idx="63">
                  <c:v>0.367867563</c:v>
                </c:pt>
                <c:pt idx="64">
                  <c:v>9.613813945</c:v>
                </c:pt>
                <c:pt idx="65">
                  <c:v>8.513130653</c:v>
                </c:pt>
                <c:pt idx="66">
                  <c:v>8.976367672</c:v>
                </c:pt>
                <c:pt idx="67">
                  <c:v>9.104874916</c:v>
                </c:pt>
                <c:pt idx="68">
                  <c:v>10.71596965</c:v>
                </c:pt>
                <c:pt idx="69">
                  <c:v>0.652311806</c:v>
                </c:pt>
                <c:pt idx="70">
                  <c:v>0.715391863</c:v>
                </c:pt>
                <c:pt idx="71">
                  <c:v>0.481399865</c:v>
                </c:pt>
                <c:pt idx="72">
                  <c:v>0.535245568</c:v>
                </c:pt>
                <c:pt idx="73">
                  <c:v>0.62536862</c:v>
                </c:pt>
                <c:pt idx="74">
                  <c:v>0.684635721</c:v>
                </c:pt>
                <c:pt idx="75">
                  <c:v>0.656926095</c:v>
                </c:pt>
                <c:pt idx="76">
                  <c:v>0.719019842</c:v>
                </c:pt>
                <c:pt idx="77">
                  <c:v>0.587702904</c:v>
                </c:pt>
                <c:pt idx="78">
                  <c:v>0.544647747</c:v>
                </c:pt>
                <c:pt idx="79">
                  <c:v>0.550020351</c:v>
                </c:pt>
                <c:pt idx="80">
                  <c:v>0.670053422</c:v>
                </c:pt>
                <c:pt idx="81">
                  <c:v>0.672861972</c:v>
                </c:pt>
                <c:pt idx="82">
                  <c:v>0.67925713</c:v>
                </c:pt>
                <c:pt idx="83">
                  <c:v>0.645721686</c:v>
                </c:pt>
                <c:pt idx="84">
                  <c:v>0.6383067</c:v>
                </c:pt>
                <c:pt idx="85">
                  <c:v>0.678796304</c:v>
                </c:pt>
                <c:pt idx="86">
                  <c:v>0.637087394</c:v>
                </c:pt>
                <c:pt idx="87">
                  <c:v>0.641992783</c:v>
                </c:pt>
                <c:pt idx="88">
                  <c:v>0.53516736</c:v>
                </c:pt>
                <c:pt idx="89">
                  <c:v>0.47958276</c:v>
                </c:pt>
                <c:pt idx="90">
                  <c:v>0.432817444</c:v>
                </c:pt>
                <c:pt idx="91">
                  <c:v>0.579631425</c:v>
                </c:pt>
                <c:pt idx="92">
                  <c:v>0.621950556</c:v>
                </c:pt>
                <c:pt idx="93">
                  <c:v>0.640656502</c:v>
                </c:pt>
                <c:pt idx="94">
                  <c:v>0.547388884</c:v>
                </c:pt>
                <c:pt idx="95">
                  <c:v>0.539865406</c:v>
                </c:pt>
                <c:pt idx="96">
                  <c:v>0.577077151</c:v>
                </c:pt>
                <c:pt idx="97">
                  <c:v>0.551168383</c:v>
                </c:pt>
                <c:pt idx="98">
                  <c:v>0.411885777</c:v>
                </c:pt>
                <c:pt idx="99">
                  <c:v>0.446596325</c:v>
                </c:pt>
                <c:pt idx="100">
                  <c:v>0.457811379</c:v>
                </c:pt>
                <c:pt idx="101">
                  <c:v>0.445861066</c:v>
                </c:pt>
                <c:pt idx="102">
                  <c:v>0.427829402</c:v>
                </c:pt>
                <c:pt idx="103">
                  <c:v>0.430139789</c:v>
                </c:pt>
                <c:pt idx="104">
                  <c:v>0.416892483</c:v>
                </c:pt>
                <c:pt idx="105">
                  <c:v>0.434426568</c:v>
                </c:pt>
                <c:pt idx="106">
                  <c:v>8.450296163</c:v>
                </c:pt>
                <c:pt idx="107">
                  <c:v>9.511049358</c:v>
                </c:pt>
                <c:pt idx="108">
                  <c:v>9.269431475</c:v>
                </c:pt>
                <c:pt idx="109">
                  <c:v>9.541328566</c:v>
                </c:pt>
                <c:pt idx="110">
                  <c:v>8.755105781</c:v>
                </c:pt>
                <c:pt idx="111">
                  <c:v>9.96460572</c:v>
                </c:pt>
                <c:pt idx="112">
                  <c:v>10.33433645</c:v>
                </c:pt>
                <c:pt idx="113">
                  <c:v>12.62135922</c:v>
                </c:pt>
                <c:pt idx="114">
                  <c:v>9.738046548</c:v>
                </c:pt>
                <c:pt idx="115">
                  <c:v>8.960573477</c:v>
                </c:pt>
                <c:pt idx="116">
                  <c:v>9.675858732</c:v>
                </c:pt>
                <c:pt idx="117">
                  <c:v>10.32918235</c:v>
                </c:pt>
                <c:pt idx="118">
                  <c:v>9.980620155</c:v>
                </c:pt>
                <c:pt idx="119">
                  <c:v>10.22808633</c:v>
                </c:pt>
                <c:pt idx="120">
                  <c:v>10.40379069</c:v>
                </c:pt>
                <c:pt idx="121">
                  <c:v>7.544158682</c:v>
                </c:pt>
                <c:pt idx="122">
                  <c:v>6.713258007</c:v>
                </c:pt>
                <c:pt idx="123">
                  <c:v>6.58500736</c:v>
                </c:pt>
                <c:pt idx="124">
                  <c:v>7.47067165</c:v>
                </c:pt>
                <c:pt idx="125">
                  <c:v>8.456584469</c:v>
                </c:pt>
                <c:pt idx="126">
                  <c:v>6.719830311</c:v>
                </c:pt>
                <c:pt idx="127">
                  <c:v>5.828732756</c:v>
                </c:pt>
                <c:pt idx="128">
                  <c:v>7.15332143</c:v>
                </c:pt>
                <c:pt idx="129">
                  <c:v>9.243525599</c:v>
                </c:pt>
                <c:pt idx="130">
                  <c:v>6.707663908</c:v>
                </c:pt>
                <c:pt idx="131">
                  <c:v>7.643965266</c:v>
                </c:pt>
                <c:pt idx="132">
                  <c:v>6.625872495</c:v>
                </c:pt>
                <c:pt idx="133">
                  <c:v>7.22476534</c:v>
                </c:pt>
                <c:pt idx="134">
                  <c:v>8.705403657</c:v>
                </c:pt>
                <c:pt idx="135">
                  <c:v>10.54919088</c:v>
                </c:pt>
                <c:pt idx="136">
                  <c:v>12.10079125</c:v>
                </c:pt>
                <c:pt idx="137">
                  <c:v>10.29092443</c:v>
                </c:pt>
                <c:pt idx="138">
                  <c:v>9.851828499</c:v>
                </c:pt>
                <c:pt idx="139">
                  <c:v>11.50417026</c:v>
                </c:pt>
                <c:pt idx="140">
                  <c:v>12.2664948</c:v>
                </c:pt>
                <c:pt idx="141">
                  <c:v>10.55987861</c:v>
                </c:pt>
                <c:pt idx="142">
                  <c:v>10.82535276</c:v>
                </c:pt>
                <c:pt idx="143">
                  <c:v>11.01709854</c:v>
                </c:pt>
                <c:pt idx="144">
                  <c:v>12.98370363</c:v>
                </c:pt>
                <c:pt idx="145">
                  <c:v>5.139571488</c:v>
                </c:pt>
                <c:pt idx="146">
                  <c:v>5.464602093</c:v>
                </c:pt>
                <c:pt idx="147">
                  <c:v>5.196540974</c:v>
                </c:pt>
                <c:pt idx="148">
                  <c:v>6.459191195</c:v>
                </c:pt>
                <c:pt idx="149">
                  <c:v>5.156377459</c:v>
                </c:pt>
                <c:pt idx="150">
                  <c:v>5.506683737</c:v>
                </c:pt>
                <c:pt idx="151">
                  <c:v>5.434979528</c:v>
                </c:pt>
                <c:pt idx="152">
                  <c:v>5.859222416</c:v>
                </c:pt>
                <c:pt idx="153">
                  <c:v>6.685665932</c:v>
                </c:pt>
                <c:pt idx="154">
                  <c:v>7.254482908</c:v>
                </c:pt>
                <c:pt idx="155">
                  <c:v>6.768876705</c:v>
                </c:pt>
                <c:pt idx="156">
                  <c:v>6.540069605</c:v>
                </c:pt>
                <c:pt idx="157">
                  <c:v>6.766903847</c:v>
                </c:pt>
                <c:pt idx="158">
                  <c:v>4.048825598</c:v>
                </c:pt>
                <c:pt idx="159">
                  <c:v>3.775846472</c:v>
                </c:pt>
                <c:pt idx="160">
                  <c:v>3.849276336</c:v>
                </c:pt>
                <c:pt idx="161">
                  <c:v>3.640760555</c:v>
                </c:pt>
                <c:pt idx="162">
                  <c:v>7.114694809</c:v>
                </c:pt>
                <c:pt idx="163">
                  <c:v>6.133672804</c:v>
                </c:pt>
                <c:pt idx="164">
                  <c:v>5.8578499</c:v>
                </c:pt>
                <c:pt idx="165">
                  <c:v>5.088341436</c:v>
                </c:pt>
                <c:pt idx="166">
                  <c:v>4.290197542</c:v>
                </c:pt>
                <c:pt idx="167">
                  <c:v>5.040608401</c:v>
                </c:pt>
                <c:pt idx="168">
                  <c:v>5.104638713</c:v>
                </c:pt>
                <c:pt idx="169">
                  <c:v>5.369913182</c:v>
                </c:pt>
                <c:pt idx="170">
                  <c:v>0.492521014</c:v>
                </c:pt>
                <c:pt idx="171">
                  <c:v>0.554434665</c:v>
                </c:pt>
                <c:pt idx="172">
                  <c:v>0.645105527</c:v>
                </c:pt>
                <c:pt idx="173">
                  <c:v>0.585216267</c:v>
                </c:pt>
                <c:pt idx="174">
                  <c:v>0.599376289</c:v>
                </c:pt>
                <c:pt idx="175">
                  <c:v>0.652608297</c:v>
                </c:pt>
                <c:pt idx="176">
                  <c:v>0.656257762</c:v>
                </c:pt>
                <c:pt idx="177">
                  <c:v>0.652135813</c:v>
                </c:pt>
                <c:pt idx="178">
                  <c:v>0.628051841</c:v>
                </c:pt>
                <c:pt idx="179">
                  <c:v>0.656257762</c:v>
                </c:pt>
                <c:pt idx="180">
                  <c:v>0.686225863</c:v>
                </c:pt>
                <c:pt idx="181">
                  <c:v>0.322009037</c:v>
                </c:pt>
                <c:pt idx="182">
                  <c:v>0.313424079</c:v>
                </c:pt>
                <c:pt idx="183">
                  <c:v>0.294172255</c:v>
                </c:pt>
                <c:pt idx="184">
                  <c:v>0.342554652</c:v>
                </c:pt>
                <c:pt idx="185">
                  <c:v>0.329158003</c:v>
                </c:pt>
                <c:pt idx="186">
                  <c:v>0.340367357</c:v>
                </c:pt>
                <c:pt idx="187">
                  <c:v>0.336901538</c:v>
                </c:pt>
                <c:pt idx="188">
                  <c:v>0.327249516</c:v>
                </c:pt>
                <c:pt idx="189">
                  <c:v>0.365382932</c:v>
                </c:pt>
                <c:pt idx="190">
                  <c:v>0.350909878</c:v>
                </c:pt>
                <c:pt idx="191">
                  <c:v>0.360036717</c:v>
                </c:pt>
                <c:pt idx="192">
                  <c:v>0.350384258</c:v>
                </c:pt>
                <c:pt idx="193">
                  <c:v>0.365959617</c:v>
                </c:pt>
                <c:pt idx="194">
                  <c:v>0.393506445</c:v>
                </c:pt>
                <c:pt idx="195">
                  <c:v>0.592657039</c:v>
                </c:pt>
                <c:pt idx="196">
                  <c:v>0.58591816</c:v>
                </c:pt>
                <c:pt idx="197">
                  <c:v>0.617844494</c:v>
                </c:pt>
                <c:pt idx="198">
                  <c:v>0.53120011</c:v>
                </c:pt>
                <c:pt idx="199">
                  <c:v>0.571890124</c:v>
                </c:pt>
                <c:pt idx="200">
                  <c:v>0.53013505</c:v>
                </c:pt>
                <c:pt idx="201">
                  <c:v>0.511601485</c:v>
                </c:pt>
                <c:pt idx="202">
                  <c:v>0.659237712</c:v>
                </c:pt>
                <c:pt idx="203">
                  <c:v>0.51685276</c:v>
                </c:pt>
                <c:pt idx="204">
                  <c:v>0.513498647</c:v>
                </c:pt>
                <c:pt idx="205">
                  <c:v>0.682033501</c:v>
                </c:pt>
                <c:pt idx="206">
                  <c:v>0.525947489</c:v>
                </c:pt>
                <c:pt idx="207">
                  <c:v>0.57479553</c:v>
                </c:pt>
                <c:pt idx="208">
                  <c:v>0.532885873</c:v>
                </c:pt>
                <c:pt idx="209">
                  <c:v>0.499904218</c:v>
                </c:pt>
                <c:pt idx="210">
                  <c:v>0.610832867</c:v>
                </c:pt>
                <c:pt idx="211">
                  <c:v>0.416016289</c:v>
                </c:pt>
                <c:pt idx="212">
                  <c:v>0.384015036</c:v>
                </c:pt>
                <c:pt idx="213">
                  <c:v>0.385896848</c:v>
                </c:pt>
                <c:pt idx="214">
                  <c:v>0.351100648</c:v>
                </c:pt>
                <c:pt idx="215">
                  <c:v>0.357484296</c:v>
                </c:pt>
                <c:pt idx="216">
                  <c:v>0.386837881</c:v>
                </c:pt>
                <c:pt idx="217">
                  <c:v>0.51791518</c:v>
                </c:pt>
                <c:pt idx="218">
                  <c:v>0.382894733</c:v>
                </c:pt>
                <c:pt idx="219">
                  <c:v>0.400824653</c:v>
                </c:pt>
                <c:pt idx="220">
                  <c:v>0.408179502</c:v>
                </c:pt>
                <c:pt idx="221">
                  <c:v>0.423599968</c:v>
                </c:pt>
                <c:pt idx="222">
                  <c:v>0.444894453</c:v>
                </c:pt>
                <c:pt idx="223">
                  <c:v>0.442681047</c:v>
                </c:pt>
                <c:pt idx="224">
                  <c:v>0.405517157</c:v>
                </c:pt>
                <c:pt idx="225">
                  <c:v>0.663578746</c:v>
                </c:pt>
                <c:pt idx="226">
                  <c:v>0.361529861</c:v>
                </c:pt>
                <c:pt idx="227">
                  <c:v>0.377068752</c:v>
                </c:pt>
                <c:pt idx="228">
                  <c:v>0.378502197</c:v>
                </c:pt>
                <c:pt idx="229">
                  <c:v>0.422008196</c:v>
                </c:pt>
                <c:pt idx="230">
                  <c:v>0.361770319</c:v>
                </c:pt>
                <c:pt idx="231">
                  <c:v>0.425128598</c:v>
                </c:pt>
                <c:pt idx="232">
                  <c:v>0.349826276</c:v>
                </c:pt>
                <c:pt idx="233">
                  <c:v>0.364109384</c:v>
                </c:pt>
                <c:pt idx="234">
                  <c:v>0.342185443</c:v>
                </c:pt>
                <c:pt idx="235">
                  <c:v>0.346815529</c:v>
                </c:pt>
                <c:pt idx="236">
                  <c:v>0.373809886</c:v>
                </c:pt>
                <c:pt idx="237">
                  <c:v>0.301162593</c:v>
                </c:pt>
                <c:pt idx="238">
                  <c:v>0.295857813</c:v>
                </c:pt>
                <c:pt idx="239">
                  <c:v>0.298533172</c:v>
                </c:pt>
                <c:pt idx="240">
                  <c:v>0.292537631</c:v>
                </c:pt>
                <c:pt idx="241">
                  <c:v>0.292537631</c:v>
                </c:pt>
                <c:pt idx="242">
                  <c:v>0.292537631</c:v>
                </c:pt>
                <c:pt idx="243">
                  <c:v>0.292537631</c:v>
                </c:pt>
                <c:pt idx="244">
                  <c:v>0.292537631</c:v>
                </c:pt>
                <c:pt idx="245">
                  <c:v>0.292537631</c:v>
                </c:pt>
                <c:pt idx="246">
                  <c:v>0.494407336</c:v>
                </c:pt>
                <c:pt idx="247">
                  <c:v>0.482047765</c:v>
                </c:pt>
                <c:pt idx="248">
                  <c:v>0.243583782</c:v>
                </c:pt>
                <c:pt idx="249">
                  <c:v>0.243583782</c:v>
                </c:pt>
                <c:pt idx="250">
                  <c:v>0.243583782</c:v>
                </c:pt>
                <c:pt idx="251">
                  <c:v>0.243583782</c:v>
                </c:pt>
                <c:pt idx="252">
                  <c:v>0.243583782</c:v>
                </c:pt>
                <c:pt idx="253">
                  <c:v>0.243583782</c:v>
                </c:pt>
                <c:pt idx="254">
                  <c:v>0.243583782</c:v>
                </c:pt>
                <c:pt idx="255">
                  <c:v>0.243583782</c:v>
                </c:pt>
                <c:pt idx="256">
                  <c:v>0.243583782</c:v>
                </c:pt>
                <c:pt idx="257">
                  <c:v>0.243583782</c:v>
                </c:pt>
              </c:strCache>
            </c:strRef>
          </c:xVal>
          <c:yVal>
            <c:numRef>
              <c:f>rawData!$U$100:$U$365</c:f>
              <c:numCache>
                <c:formatCode>0%</c:formatCode>
                <c:ptCount val="266"/>
                <c:pt idx="0">
                  <c:v>0.87141765380206337</c:v>
                </c:pt>
                <c:pt idx="1">
                  <c:v>0.96580053496369889</c:v>
                </c:pt>
                <c:pt idx="2">
                  <c:v>0.9095019742707936</c:v>
                </c:pt>
                <c:pt idx="3">
                  <c:v>0.96473551637279598</c:v>
                </c:pt>
                <c:pt idx="4">
                  <c:v>0.95465994962216616</c:v>
                </c:pt>
                <c:pt idx="5">
                  <c:v>0.95465994962216616</c:v>
                </c:pt>
                <c:pt idx="6">
                  <c:v>0.89002557544757033</c:v>
                </c:pt>
                <c:pt idx="7">
                  <c:v>0.94629156010230175</c:v>
                </c:pt>
                <c:pt idx="8">
                  <c:v>0.94884910485933505</c:v>
                </c:pt>
                <c:pt idx="9">
                  <c:v>0.97524752475247523</c:v>
                </c:pt>
                <c:pt idx="10">
                  <c:v>0.97524752475247523</c:v>
                </c:pt>
                <c:pt idx="11">
                  <c:v>0.97035040431266839</c:v>
                </c:pt>
                <c:pt idx="12">
                  <c:v>0.8867924528301887</c:v>
                </c:pt>
                <c:pt idx="13">
                  <c:v>0.78776016803513471</c:v>
                </c:pt>
                <c:pt idx="14">
                  <c:v>0.96009165552797415</c:v>
                </c:pt>
                <c:pt idx="15">
                  <c:v>0.98415123162115714</c:v>
                </c:pt>
                <c:pt idx="16">
                  <c:v>0.99408058048501058</c:v>
                </c:pt>
                <c:pt idx="17">
                  <c:v>0.76299918500407504</c:v>
                </c:pt>
                <c:pt idx="18">
                  <c:v>0.97522412387938062</c:v>
                </c:pt>
                <c:pt idx="19">
                  <c:v>0.9779136104319478</c:v>
                </c:pt>
                <c:pt idx="20">
                  <c:v>0.95010114632501685</c:v>
                </c:pt>
                <c:pt idx="21">
                  <c:v>0.92675320296695884</c:v>
                </c:pt>
                <c:pt idx="22">
                  <c:v>0.94630815913688471</c:v>
                </c:pt>
                <c:pt idx="23">
                  <c:v>0.96847606203641268</c:v>
                </c:pt>
                <c:pt idx="24">
                  <c:v>0.9699932569116656</c:v>
                </c:pt>
                <c:pt idx="25">
                  <c:v>0.95587401829811347</c:v>
                </c:pt>
                <c:pt idx="26">
                  <c:v>0.85620597522467823</c:v>
                </c:pt>
                <c:pt idx="27">
                  <c:v>0.97660108493239417</c:v>
                </c:pt>
                <c:pt idx="28">
                  <c:v>0.84908104606914414</c:v>
                </c:pt>
                <c:pt idx="29">
                  <c:v>0.97692494534855479</c:v>
                </c:pt>
                <c:pt idx="30">
                  <c:v>0.90632337462553636</c:v>
                </c:pt>
                <c:pt idx="31">
                  <c:v>0.83612452569851681</c:v>
                </c:pt>
                <c:pt idx="32">
                  <c:v>0.81885995170748527</c:v>
                </c:pt>
                <c:pt idx="33">
                  <c:v>0.86550559267322269</c:v>
                </c:pt>
                <c:pt idx="34">
                  <c:v>0.90978905487576001</c:v>
                </c:pt>
                <c:pt idx="35">
                  <c:v>0.95341190601306214</c:v>
                </c:pt>
                <c:pt idx="36">
                  <c:v>0.88349973725696274</c:v>
                </c:pt>
                <c:pt idx="37">
                  <c:v>0.87443134899782293</c:v>
                </c:pt>
                <c:pt idx="38">
                  <c:v>0.86045341941295694</c:v>
                </c:pt>
                <c:pt idx="39">
                  <c:v>0.98854368932038827</c:v>
                </c:pt>
                <c:pt idx="40">
                  <c:v>1</c:v>
                </c:pt>
                <c:pt idx="41">
                  <c:v>0.970873786407767</c:v>
                </c:pt>
                <c:pt idx="42">
                  <c:v>0.98601941747572819</c:v>
                </c:pt>
                <c:pt idx="43">
                  <c:v>0.96737864077669911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0.85119047619047616</c:v>
                </c:pt>
                <c:pt idx="51">
                  <c:v>0.87876984126984126</c:v>
                </c:pt>
                <c:pt idx="52">
                  <c:v>0.83064516129032251</c:v>
                </c:pt>
                <c:pt idx="53">
                  <c:v>0.85857771260997062</c:v>
                </c:pt>
                <c:pt idx="54">
                  <c:v>0.82866568914956018</c:v>
                </c:pt>
                <c:pt idx="55">
                  <c:v>0.96772486772486777</c:v>
                </c:pt>
                <c:pt idx="56">
                  <c:v>0.85714285714285721</c:v>
                </c:pt>
                <c:pt idx="57">
                  <c:v>0.86398139813981401</c:v>
                </c:pt>
                <c:pt idx="58">
                  <c:v>0.83549354935493547</c:v>
                </c:pt>
                <c:pt idx="59">
                  <c:v>0.75643564356435644</c:v>
                </c:pt>
                <c:pt idx="60">
                  <c:v>0.72385238523852391</c:v>
                </c:pt>
                <c:pt idx="61">
                  <c:v>0.84002400240024011</c:v>
                </c:pt>
                <c:pt idx="62">
                  <c:v>0.8915866922584772</c:v>
                </c:pt>
                <c:pt idx="63">
                  <c:v>0.89216250799744079</c:v>
                </c:pt>
                <c:pt idx="64">
                  <c:v>0.8706521739130435</c:v>
                </c:pt>
                <c:pt idx="65">
                  <c:v>0.84565217391304348</c:v>
                </c:pt>
                <c:pt idx="66">
                  <c:v>0.83125000000000004</c:v>
                </c:pt>
                <c:pt idx="67">
                  <c:v>0.89021739130434785</c:v>
                </c:pt>
                <c:pt idx="68">
                  <c:v>0.79184782608695647</c:v>
                </c:pt>
                <c:pt idx="69">
                  <c:v>0.85137080716801961</c:v>
                </c:pt>
                <c:pt idx="70">
                  <c:v>0.92418440802573132</c:v>
                </c:pt>
                <c:pt idx="71">
                  <c:v>0.79319583654587511</c:v>
                </c:pt>
                <c:pt idx="72">
                  <c:v>0.80063608326908253</c:v>
                </c:pt>
                <c:pt idx="73">
                  <c:v>0.9164996144949884</c:v>
                </c:pt>
                <c:pt idx="74">
                  <c:v>0.93918896999188961</c:v>
                </c:pt>
                <c:pt idx="75">
                  <c:v>0.97135442011354423</c:v>
                </c:pt>
                <c:pt idx="76">
                  <c:v>0.96160583941605837</c:v>
                </c:pt>
                <c:pt idx="77">
                  <c:v>0.91866991078669902</c:v>
                </c:pt>
                <c:pt idx="78">
                  <c:v>0.95693430656934297</c:v>
                </c:pt>
                <c:pt idx="79">
                  <c:v>0.95581508515815083</c:v>
                </c:pt>
                <c:pt idx="80">
                  <c:v>0.97459854014598535</c:v>
                </c:pt>
                <c:pt idx="81">
                  <c:v>0.95146443514644352</c:v>
                </c:pt>
                <c:pt idx="82">
                  <c:v>0.97953429143169002</c:v>
                </c:pt>
                <c:pt idx="83">
                  <c:v>0.97605966891031481</c:v>
                </c:pt>
                <c:pt idx="84">
                  <c:v>0.96761870110969617</c:v>
                </c:pt>
                <c:pt idx="85">
                  <c:v>0.93678370020010915</c:v>
                </c:pt>
                <c:pt idx="86">
                  <c:v>0.98462797889758047</c:v>
                </c:pt>
                <c:pt idx="87">
                  <c:v>0.98913953065308347</c:v>
                </c:pt>
                <c:pt idx="88">
                  <c:v>0.98126902607219046</c:v>
                </c:pt>
                <c:pt idx="89">
                  <c:v>0.98327776512249165</c:v>
                </c:pt>
                <c:pt idx="90">
                  <c:v>0.98629087369794355</c:v>
                </c:pt>
                <c:pt idx="91">
                  <c:v>0.96530265691979533</c:v>
                </c:pt>
                <c:pt idx="92">
                  <c:v>0.98639441694795926</c:v>
                </c:pt>
                <c:pt idx="93">
                  <c:v>0.97884513321303479</c:v>
                </c:pt>
                <c:pt idx="94">
                  <c:v>0.99203906167073563</c:v>
                </c:pt>
                <c:pt idx="95">
                  <c:v>0.99072285320029718</c:v>
                </c:pt>
                <c:pt idx="96">
                  <c:v>0.98292113363761813</c:v>
                </c:pt>
                <c:pt idx="97">
                  <c:v>0.99338711389449097</c:v>
                </c:pt>
                <c:pt idx="98">
                  <c:v>0.96516213326998457</c:v>
                </c:pt>
                <c:pt idx="99">
                  <c:v>0.95475709704240408</c:v>
                </c:pt>
                <c:pt idx="100">
                  <c:v>0.95160945480460868</c:v>
                </c:pt>
                <c:pt idx="101">
                  <c:v>0.96516213326998457</c:v>
                </c:pt>
                <c:pt idx="102">
                  <c:v>0.97159995248841902</c:v>
                </c:pt>
                <c:pt idx="103">
                  <c:v>0.96159876469889538</c:v>
                </c:pt>
                <c:pt idx="104">
                  <c:v>0.92201557093425601</c:v>
                </c:pt>
                <c:pt idx="105">
                  <c:v>0.85224048442906575</c:v>
                </c:pt>
                <c:pt idx="106">
                  <c:v>0.95880681818181812</c:v>
                </c:pt>
                <c:pt idx="107">
                  <c:v>0.95227272727272727</c:v>
                </c:pt>
                <c:pt idx="108">
                  <c:v>0.99261363636363642</c:v>
                </c:pt>
                <c:pt idx="109">
                  <c:v>0.99261363636363642</c:v>
                </c:pt>
                <c:pt idx="110">
                  <c:v>0.97272727272727277</c:v>
                </c:pt>
                <c:pt idx="111">
                  <c:v>0.97130681818181819</c:v>
                </c:pt>
                <c:pt idx="112">
                  <c:v>0.91903409090909083</c:v>
                </c:pt>
                <c:pt idx="113">
                  <c:v>0.96966666666666668</c:v>
                </c:pt>
                <c:pt idx="114">
                  <c:v>0.9893333333333334</c:v>
                </c:pt>
                <c:pt idx="115">
                  <c:v>0.94600000000000006</c:v>
                </c:pt>
                <c:pt idx="116">
                  <c:v>0.91666666666666663</c:v>
                </c:pt>
                <c:pt idx="117">
                  <c:v>0.94566666666666677</c:v>
                </c:pt>
                <c:pt idx="118">
                  <c:v>0.877</c:v>
                </c:pt>
                <c:pt idx="119">
                  <c:v>0.97366666666666657</c:v>
                </c:pt>
                <c:pt idx="120">
                  <c:v>0.95633333333333337</c:v>
                </c:pt>
                <c:pt idx="121">
                  <c:v>0.94061757719714956</c:v>
                </c:pt>
                <c:pt idx="122">
                  <c:v>0.96575613618368972</c:v>
                </c:pt>
                <c:pt idx="123">
                  <c:v>0.8165083135391924</c:v>
                </c:pt>
                <c:pt idx="124">
                  <c:v>0.95150435471100547</c:v>
                </c:pt>
                <c:pt idx="125">
                  <c:v>0.92755344418052255</c:v>
                </c:pt>
                <c:pt idx="126">
                  <c:v>0.88578780680918456</c:v>
                </c:pt>
                <c:pt idx="127">
                  <c:v>0.91013460015835312</c:v>
                </c:pt>
                <c:pt idx="128">
                  <c:v>0.97811447811447805</c:v>
                </c:pt>
                <c:pt idx="129">
                  <c:v>0.97095959595959602</c:v>
                </c:pt>
                <c:pt idx="130">
                  <c:v>0.98884680134680125</c:v>
                </c:pt>
                <c:pt idx="131">
                  <c:v>0.96380471380471378</c:v>
                </c:pt>
                <c:pt idx="132">
                  <c:v>0.88867845117845112</c:v>
                </c:pt>
                <c:pt idx="133">
                  <c:v>0.92655723905723908</c:v>
                </c:pt>
                <c:pt idx="134">
                  <c:v>0.79187710437710446</c:v>
                </c:pt>
                <c:pt idx="135">
                  <c:v>0.9265573770491804</c:v>
                </c:pt>
                <c:pt idx="136">
                  <c:v>0.92590163934426228</c:v>
                </c:pt>
                <c:pt idx="137">
                  <c:v>0.98262295081967199</c:v>
                </c:pt>
                <c:pt idx="138">
                  <c:v>0.89311475409836061</c:v>
                </c:pt>
                <c:pt idx="139">
                  <c:v>0.96721311475409832</c:v>
                </c:pt>
                <c:pt idx="140">
                  <c:v>0.82950819672131149</c:v>
                </c:pt>
                <c:pt idx="141">
                  <c:v>1</c:v>
                </c:pt>
                <c:pt idx="142">
                  <c:v>0.9888524590163934</c:v>
                </c:pt>
                <c:pt idx="143">
                  <c:v>0.96295081967213125</c:v>
                </c:pt>
                <c:pt idx="144">
                  <c:v>0.98491803278688528</c:v>
                </c:pt>
                <c:pt idx="145">
                  <c:v>1</c:v>
                </c:pt>
                <c:pt idx="146">
                  <c:v>1</c:v>
                </c:pt>
                <c:pt idx="147">
                  <c:v>0.99601040763226367</c:v>
                </c:pt>
                <c:pt idx="148">
                  <c:v>0.98178664353859502</c:v>
                </c:pt>
                <c:pt idx="149">
                  <c:v>0.99549002601908054</c:v>
                </c:pt>
                <c:pt idx="150">
                  <c:v>0.96045099739809181</c:v>
                </c:pt>
                <c:pt idx="151">
                  <c:v>0.82342657342657344</c:v>
                </c:pt>
                <c:pt idx="152">
                  <c:v>0.811013986013986</c:v>
                </c:pt>
                <c:pt idx="153">
                  <c:v>0.79143356643356644</c:v>
                </c:pt>
                <c:pt idx="154">
                  <c:v>0.90713101160862342</c:v>
                </c:pt>
                <c:pt idx="155">
                  <c:v>0.91326699834162517</c:v>
                </c:pt>
                <c:pt idx="156">
                  <c:v>0.85373134328358202</c:v>
                </c:pt>
                <c:pt idx="157">
                  <c:v>0.8827529021558872</c:v>
                </c:pt>
                <c:pt idx="158">
                  <c:v>0.98253968253968249</c:v>
                </c:pt>
                <c:pt idx="159">
                  <c:v>0.9790123456790123</c:v>
                </c:pt>
                <c:pt idx="160">
                  <c:v>0.94268077601410938</c:v>
                </c:pt>
                <c:pt idx="161">
                  <c:v>0.97795414462081132</c:v>
                </c:pt>
                <c:pt idx="162">
                  <c:v>0.8589511754068716</c:v>
                </c:pt>
                <c:pt idx="163">
                  <c:v>0.94755877034358038</c:v>
                </c:pt>
                <c:pt idx="164">
                  <c:v>0.84086799276672697</c:v>
                </c:pt>
                <c:pt idx="165">
                  <c:v>0.9005424954792044</c:v>
                </c:pt>
                <c:pt idx="166">
                  <c:v>0.86980108499095843</c:v>
                </c:pt>
                <c:pt idx="167">
                  <c:v>0.88426763110307416</c:v>
                </c:pt>
                <c:pt idx="168">
                  <c:v>0.81374321880651002</c:v>
                </c:pt>
                <c:pt idx="169">
                  <c:v>0.70886075949367089</c:v>
                </c:pt>
                <c:pt idx="170">
                  <c:v>0.732089429557784</c:v>
                </c:pt>
                <c:pt idx="171">
                  <c:v>0.88903501561729414</c:v>
                </c:pt>
                <c:pt idx="172">
                  <c:v>0.79049810948545129</c:v>
                </c:pt>
                <c:pt idx="173">
                  <c:v>0.86276508301824761</c:v>
                </c:pt>
                <c:pt idx="174">
                  <c:v>0.55605786618444852</c:v>
                </c:pt>
                <c:pt idx="175">
                  <c:v>0.94890678941311846</c:v>
                </c:pt>
                <c:pt idx="176">
                  <c:v>0.8741574880815387</c:v>
                </c:pt>
                <c:pt idx="177">
                  <c:v>0.93642939339141862</c:v>
                </c:pt>
                <c:pt idx="178">
                  <c:v>0.76679270096991625</c:v>
                </c:pt>
                <c:pt idx="179">
                  <c:v>0.98093046194312028</c:v>
                </c:pt>
                <c:pt idx="180">
                  <c:v>0.91024165707710003</c:v>
                </c:pt>
                <c:pt idx="181">
                  <c:v>0.95760400246727428</c:v>
                </c:pt>
                <c:pt idx="182">
                  <c:v>0.98974710437941205</c:v>
                </c:pt>
                <c:pt idx="183">
                  <c:v>0.87108491535878274</c:v>
                </c:pt>
                <c:pt idx="184">
                  <c:v>0.96249742992255494</c:v>
                </c:pt>
                <c:pt idx="185">
                  <c:v>0.91464601466657525</c:v>
                </c:pt>
                <c:pt idx="186">
                  <c:v>0.93997669796449868</c:v>
                </c:pt>
                <c:pt idx="187">
                  <c:v>0.95321773696114043</c:v>
                </c:pt>
                <c:pt idx="188">
                  <c:v>0.99410595572613247</c:v>
                </c:pt>
                <c:pt idx="189">
                  <c:v>0.99719004866013294</c:v>
                </c:pt>
                <c:pt idx="190">
                  <c:v>0</c:v>
                </c:pt>
                <c:pt idx="191">
                  <c:v>0.97706332091746717</c:v>
                </c:pt>
                <c:pt idx="192">
                  <c:v>0.91700973665294394</c:v>
                </c:pt>
                <c:pt idx="193">
                  <c:v>0.95157812193687519</c:v>
                </c:pt>
                <c:pt idx="194">
                  <c:v>0.97026726785597595</c:v>
                </c:pt>
                <c:pt idx="195">
                  <c:v>0.94623450905624407</c:v>
                </c:pt>
                <c:pt idx="196">
                  <c:v>0.96661900222434072</c:v>
                </c:pt>
                <c:pt idx="197">
                  <c:v>0.95996186844613918</c:v>
                </c:pt>
                <c:pt idx="198">
                  <c:v>0.93396885923101358</c:v>
                </c:pt>
                <c:pt idx="199">
                  <c:v>0.91959008579599621</c:v>
                </c:pt>
                <c:pt idx="200">
                  <c:v>0.94806164601207499</c:v>
                </c:pt>
                <c:pt idx="201">
                  <c:v>0.89647723496178133</c:v>
                </c:pt>
                <c:pt idx="202">
                  <c:v>0.82519109338650709</c:v>
                </c:pt>
                <c:pt idx="203">
                  <c:v>0.95230973745430381</c:v>
                </c:pt>
                <c:pt idx="204">
                  <c:v>0.9496510468594217</c:v>
                </c:pt>
                <c:pt idx="205">
                  <c:v>0.82336324360252577</c:v>
                </c:pt>
                <c:pt idx="206">
                  <c:v>0.93369890329012961</c:v>
                </c:pt>
                <c:pt idx="207">
                  <c:v>0.95264207377866394</c:v>
                </c:pt>
                <c:pt idx="208">
                  <c:v>0.93552675307411104</c:v>
                </c:pt>
                <c:pt idx="209">
                  <c:v>0.80475240943835169</c:v>
                </c:pt>
                <c:pt idx="210">
                  <c:v>0.9906945829179129</c:v>
                </c:pt>
                <c:pt idx="211">
                  <c:v>0.95462107117896622</c:v>
                </c:pt>
                <c:pt idx="212">
                  <c:v>0.95442419947041524</c:v>
                </c:pt>
                <c:pt idx="213">
                  <c:v>0.9307011585900048</c:v>
                </c:pt>
                <c:pt idx="214">
                  <c:v>0.92144818828810204</c:v>
                </c:pt>
                <c:pt idx="215">
                  <c:v>0.90441878549842991</c:v>
                </c:pt>
                <c:pt idx="216">
                  <c:v>0.9051078364783588</c:v>
                </c:pt>
                <c:pt idx="217">
                  <c:v>0.97578477984821188</c:v>
                </c:pt>
                <c:pt idx="218">
                  <c:v>0.97578477984821188</c:v>
                </c:pt>
                <c:pt idx="219">
                  <c:v>0.83295435529437245</c:v>
                </c:pt>
                <c:pt idx="220">
                  <c:v>0.95231958762886593</c:v>
                </c:pt>
                <c:pt idx="221">
                  <c:v>0.88745704467353947</c:v>
                </c:pt>
                <c:pt idx="222">
                  <c:v>0.96091065292096212</c:v>
                </c:pt>
                <c:pt idx="223">
                  <c:v>0.9637027491408936</c:v>
                </c:pt>
                <c:pt idx="224">
                  <c:v>0.93438573883161502</c:v>
                </c:pt>
                <c:pt idx="225">
                  <c:v>0.96058848797250873</c:v>
                </c:pt>
                <c:pt idx="226">
                  <c:v>0.95906989393527331</c:v>
                </c:pt>
                <c:pt idx="227">
                  <c:v>0.95410660864835461</c:v>
                </c:pt>
                <c:pt idx="228">
                  <c:v>0.98205058471580098</c:v>
                </c:pt>
                <c:pt idx="229">
                  <c:v>0.99578460701658966</c:v>
                </c:pt>
                <c:pt idx="230">
                  <c:v>0.95947783519173235</c:v>
                </c:pt>
                <c:pt idx="231">
                  <c:v>0.97749524068534133</c:v>
                </c:pt>
                <c:pt idx="232">
                  <c:v>0.99279562769128848</c:v>
                </c:pt>
                <c:pt idx="233">
                  <c:v>0.99412056972507457</c:v>
                </c:pt>
                <c:pt idx="234">
                  <c:v>0.97938058959920504</c:v>
                </c:pt>
                <c:pt idx="235">
                  <c:v>0.97242464392182837</c:v>
                </c:pt>
                <c:pt idx="236">
                  <c:v>0.97772441205697247</c:v>
                </c:pt>
                <c:pt idx="237">
                  <c:v>0.88407531514281157</c:v>
                </c:pt>
                <c:pt idx="238">
                  <c:v>0.9625019945747566</c:v>
                </c:pt>
                <c:pt idx="239">
                  <c:v>0.97925642253071643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0.86596457635232171</c:v>
                </c:pt>
                <c:pt idx="247">
                  <c:v>0.78530397319291523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1-43B0-862D-7AE4FD5FB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553192"/>
        <c:axId val="521553520"/>
      </c:scatterChart>
      <c:valAx>
        <c:axId val="52155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53520"/>
        <c:crosses val="autoZero"/>
        <c:crossBetween val="midCat"/>
      </c:valAx>
      <c:valAx>
        <c:axId val="5215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5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50800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EA2127-EA8B-4E33-8868-9B39F1F50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T455"/>
  <sheetViews>
    <sheetView tabSelected="1" topLeftCell="D1" zoomScale="90" zoomScaleNormal="90" workbookViewId="0">
      <pane ySplit="3" topLeftCell="A344" activePane="bottomLeft" state="frozen"/>
      <selection pane="bottomLeft" activeCell="M358" sqref="M358"/>
    </sheetView>
  </sheetViews>
  <sheetFormatPr defaultColWidth="9.1796875" defaultRowHeight="14.5" x14ac:dyDescent="0.35"/>
  <cols>
    <col min="1" max="1" width="0.453125" style="19" customWidth="1"/>
    <col min="2" max="2" width="5.81640625" style="19" customWidth="1"/>
    <col min="3" max="3" width="14.81640625" style="19" customWidth="1"/>
    <col min="4" max="5" width="4.81640625" style="19" customWidth="1"/>
    <col min="6" max="6" width="9.1796875" style="19" customWidth="1"/>
    <col min="7" max="7" width="4.453125" style="19" customWidth="1"/>
    <col min="8" max="8" width="7.54296875" style="19" customWidth="1"/>
    <col min="9" max="9" width="4.81640625" style="19" customWidth="1"/>
    <col min="10" max="10" width="7.81640625" style="19" customWidth="1"/>
    <col min="11" max="11" width="5.81640625" style="19" customWidth="1"/>
    <col min="12" max="12" width="5" style="19" customWidth="1"/>
    <col min="13" max="13" width="8.1796875" style="19" customWidth="1"/>
    <col min="14" max="16" width="10.54296875" style="19" hidden="1" customWidth="1"/>
    <col min="17" max="17" width="22.453125" style="19" customWidth="1"/>
    <col min="18" max="20" width="10.54296875" style="19" customWidth="1"/>
    <col min="21" max="23" width="9.1796875" style="19"/>
    <col min="24" max="26" width="10.54296875" style="19" customWidth="1"/>
    <col min="27" max="27" width="10.81640625" style="18" hidden="1" customWidth="1"/>
    <col min="28" max="29" width="9.1796875" style="19"/>
    <col min="30" max="30" width="9.1796875" style="20"/>
    <col min="31" max="31" width="9.1796875" style="18" hidden="1" customWidth="1"/>
    <col min="32" max="32" width="9.1796875" style="19" hidden="1" customWidth="1"/>
    <col min="33" max="33" width="9.1796875" style="20" hidden="1" customWidth="1"/>
    <col min="34" max="34" width="10.81640625" style="18" hidden="1" customWidth="1"/>
    <col min="35" max="36" width="9.1796875" style="19"/>
    <col min="37" max="37" width="9.1796875" style="20"/>
    <col min="38" max="38" width="9.1796875" style="18" hidden="1" customWidth="1"/>
    <col min="39" max="39" width="9.1796875" style="19" hidden="1" customWidth="1"/>
    <col min="40" max="40" width="9.1796875" style="20" hidden="1" customWidth="1"/>
    <col min="41" max="16384" width="9.1796875" style="19"/>
  </cols>
  <sheetData>
    <row r="1" spans="2:40" x14ac:dyDescent="0.35">
      <c r="F1" s="232" t="s">
        <v>17</v>
      </c>
      <c r="G1" s="232"/>
      <c r="H1" s="232"/>
      <c r="I1" s="232" t="s">
        <v>18</v>
      </c>
      <c r="J1" s="232"/>
      <c r="K1" s="232"/>
      <c r="Z1" s="225"/>
      <c r="AA1" s="19"/>
    </row>
    <row r="2" spans="2:40" x14ac:dyDescent="0.35">
      <c r="D2" s="230" t="s">
        <v>11</v>
      </c>
      <c r="E2" s="230"/>
      <c r="F2" s="230"/>
      <c r="G2" s="230"/>
      <c r="H2" s="230"/>
      <c r="I2" s="231" t="s">
        <v>12</v>
      </c>
      <c r="J2" s="231"/>
      <c r="K2" s="231"/>
      <c r="L2" s="22"/>
      <c r="U2" s="232" t="s">
        <v>45</v>
      </c>
      <c r="V2" s="232"/>
      <c r="W2" s="232"/>
      <c r="Z2" s="225"/>
      <c r="AA2" s="19"/>
      <c r="AB2" s="232" t="s">
        <v>157</v>
      </c>
      <c r="AC2" s="232"/>
      <c r="AD2" s="234"/>
      <c r="AE2" s="233" t="s">
        <v>151</v>
      </c>
      <c r="AF2" s="232"/>
      <c r="AG2" s="234"/>
      <c r="AI2" s="232" t="s">
        <v>156</v>
      </c>
      <c r="AJ2" s="232"/>
      <c r="AK2" s="234"/>
      <c r="AL2" s="233" t="s">
        <v>146</v>
      </c>
      <c r="AM2" s="232"/>
      <c r="AN2" s="234"/>
    </row>
    <row r="3" spans="2:40" s="24" customFormat="1" ht="48" customHeight="1" x14ac:dyDescent="0.35">
      <c r="B3" s="23" t="s">
        <v>0</v>
      </c>
      <c r="C3" s="23" t="s">
        <v>25</v>
      </c>
      <c r="D3" s="23" t="s">
        <v>2</v>
      </c>
      <c r="E3" s="23" t="s">
        <v>174</v>
      </c>
      <c r="F3" s="23" t="s">
        <v>3</v>
      </c>
      <c r="G3" s="23" t="s">
        <v>1</v>
      </c>
      <c r="H3" s="23" t="s">
        <v>4</v>
      </c>
      <c r="I3" s="23" t="s">
        <v>6</v>
      </c>
      <c r="J3" s="23" t="s">
        <v>5</v>
      </c>
      <c r="K3" s="23" t="s">
        <v>10</v>
      </c>
      <c r="L3" s="23" t="s">
        <v>16</v>
      </c>
      <c r="M3" s="23" t="s">
        <v>7</v>
      </c>
      <c r="N3" s="23" t="s">
        <v>8</v>
      </c>
      <c r="O3" s="23" t="s">
        <v>24</v>
      </c>
      <c r="P3" s="23" t="s">
        <v>76</v>
      </c>
      <c r="Q3" s="23" t="s">
        <v>22</v>
      </c>
      <c r="R3" s="23" t="s">
        <v>167</v>
      </c>
      <c r="S3" s="23" t="s">
        <v>168</v>
      </c>
      <c r="T3" s="182" t="s">
        <v>169</v>
      </c>
      <c r="U3" s="1" t="s">
        <v>13</v>
      </c>
      <c r="V3" s="1" t="s">
        <v>14</v>
      </c>
      <c r="W3" s="1" t="s">
        <v>15</v>
      </c>
      <c r="X3" s="23" t="s">
        <v>29</v>
      </c>
      <c r="Y3" s="23" t="s">
        <v>30</v>
      </c>
      <c r="Z3" s="23" t="s">
        <v>159</v>
      </c>
      <c r="AA3" s="51" t="s">
        <v>47</v>
      </c>
      <c r="AB3" s="1" t="s">
        <v>13</v>
      </c>
      <c r="AC3" s="1" t="s">
        <v>14</v>
      </c>
      <c r="AD3" s="3" t="s">
        <v>15</v>
      </c>
      <c r="AE3" s="2" t="s">
        <v>13</v>
      </c>
      <c r="AF3" s="1" t="s">
        <v>14</v>
      </c>
      <c r="AG3" s="3" t="s">
        <v>15</v>
      </c>
      <c r="AH3" s="51" t="s">
        <v>155</v>
      </c>
      <c r="AI3" s="1" t="s">
        <v>13</v>
      </c>
      <c r="AJ3" s="1" t="s">
        <v>14</v>
      </c>
      <c r="AK3" s="3" t="s">
        <v>15</v>
      </c>
      <c r="AL3" s="2" t="s">
        <v>13</v>
      </c>
      <c r="AM3" s="1" t="s">
        <v>14</v>
      </c>
      <c r="AN3" s="3" t="s">
        <v>15</v>
      </c>
    </row>
    <row r="4" spans="2:40" x14ac:dyDescent="0.35">
      <c r="B4" s="19">
        <v>1</v>
      </c>
      <c r="C4" s="25" t="s">
        <v>21</v>
      </c>
      <c r="D4" s="5" t="s">
        <v>9</v>
      </c>
      <c r="E4" s="5"/>
      <c r="F4" s="5">
        <v>338</v>
      </c>
      <c r="G4" s="5">
        <v>5</v>
      </c>
      <c r="H4" s="5">
        <v>120</v>
      </c>
      <c r="I4" s="5">
        <v>1</v>
      </c>
      <c r="J4" s="5">
        <v>5000</v>
      </c>
      <c r="K4" s="5">
        <v>65</v>
      </c>
      <c r="L4" s="5"/>
      <c r="M4" s="5">
        <v>70.5</v>
      </c>
      <c r="N4" s="26">
        <f t="shared" ref="N4:N12" si="0">M4/2.2</f>
        <v>32.04545454545454</v>
      </c>
      <c r="O4" s="27">
        <f>N4/H4</f>
        <v>0.26704545454545447</v>
      </c>
      <c r="P4" s="28">
        <v>0</v>
      </c>
      <c r="Q4" s="28"/>
      <c r="R4" s="28"/>
      <c r="S4" s="28"/>
      <c r="T4" s="28"/>
      <c r="U4" s="82" t="str">
        <f t="shared" ref="U4:U67" si="1">IF(AB4&lt;&gt;"",(AI4-AB4)/AI4,"-")</f>
        <v>-</v>
      </c>
      <c r="V4" s="82" t="str">
        <f t="shared" ref="V4:V67" si="2">IF(AC4&lt;&gt;"",(AJ4-AC4)/AJ4,"-")</f>
        <v>-</v>
      </c>
      <c r="W4" s="82" t="str">
        <f t="shared" ref="W4:W67" si="3">IF(AD4&lt;&gt;"",(AK4-AD4)/AK4,"-")</f>
        <v>-</v>
      </c>
      <c r="X4" s="29">
        <v>1634</v>
      </c>
      <c r="Y4" s="29">
        <v>1260.5</v>
      </c>
      <c r="Z4" s="53">
        <f>IF(Y4,1-Y4/X4,"-")</f>
        <v>0.22858017135862918</v>
      </c>
      <c r="AA4" s="52">
        <v>1.09E-2</v>
      </c>
      <c r="AH4" s="52">
        <v>1.09E-2</v>
      </c>
      <c r="AI4" s="5">
        <v>6.7116614229168772E-2</v>
      </c>
      <c r="AJ4" s="5">
        <v>0.11285902770729726</v>
      </c>
      <c r="AK4" s="6">
        <v>1.0281132649954329E-3</v>
      </c>
      <c r="AL4" s="4">
        <v>6.7116614229168772E-2</v>
      </c>
      <c r="AM4" s="5">
        <v>0.11285902770729726</v>
      </c>
      <c r="AN4" s="6">
        <v>1.0281132649954329E-3</v>
      </c>
    </row>
    <row r="5" spans="2:40" x14ac:dyDescent="0.35">
      <c r="B5" s="19">
        <v>2</v>
      </c>
      <c r="C5" s="25" t="s">
        <v>21</v>
      </c>
      <c r="D5" s="5" t="s">
        <v>9</v>
      </c>
      <c r="E5" s="5"/>
      <c r="F5" s="5">
        <v>338</v>
      </c>
      <c r="G5" s="5">
        <v>6</v>
      </c>
      <c r="H5" s="5">
        <v>120</v>
      </c>
      <c r="I5" s="5">
        <v>2</v>
      </c>
      <c r="J5" s="5">
        <v>5000</v>
      </c>
      <c r="K5" s="5">
        <v>65</v>
      </c>
      <c r="L5" s="5"/>
      <c r="M5" s="5">
        <f>4 +((161.5+168.5+165.5+185.5)-(162+149.5+146+166.5))</f>
        <v>61</v>
      </c>
      <c r="N5" s="26">
        <f t="shared" si="0"/>
        <v>27.727272727272727</v>
      </c>
      <c r="O5" s="27">
        <f t="shared" ref="O5:O12" si="4">N5/H5</f>
        <v>0.23106060606060605</v>
      </c>
      <c r="P5" s="5">
        <v>1</v>
      </c>
      <c r="Q5" s="28"/>
      <c r="R5" s="28"/>
      <c r="S5" s="28"/>
      <c r="T5" s="28"/>
      <c r="U5" s="82" t="str">
        <f t="shared" si="1"/>
        <v>-</v>
      </c>
      <c r="V5" s="82" t="str">
        <f t="shared" si="2"/>
        <v>-</v>
      </c>
      <c r="W5" s="82" t="str">
        <f t="shared" si="3"/>
        <v>-</v>
      </c>
      <c r="X5" s="29">
        <v>1506</v>
      </c>
      <c r="Y5" s="29">
        <v>1149.5</v>
      </c>
      <c r="Z5" s="53">
        <f t="shared" ref="Z5:Z68" si="5">IF(Y5,1-Y5/X5,"-")</f>
        <v>0.23671978751660028</v>
      </c>
      <c r="AA5" s="52">
        <v>1.32E-2</v>
      </c>
      <c r="AH5" s="52">
        <v>1.32E-2</v>
      </c>
      <c r="AI5" s="5">
        <v>6.7116614229168772E-2</v>
      </c>
      <c r="AJ5" s="5">
        <v>0.11285902770729726</v>
      </c>
      <c r="AK5" s="6">
        <v>1.0281132649954329E-3</v>
      </c>
      <c r="AL5" s="4">
        <v>6.7116614229168772E-2</v>
      </c>
      <c r="AM5" s="5">
        <v>0.11285902770729726</v>
      </c>
      <c r="AN5" s="6">
        <v>1.0281132649954329E-3</v>
      </c>
    </row>
    <row r="6" spans="2:40" x14ac:dyDescent="0.35">
      <c r="B6" s="19">
        <v>3</v>
      </c>
      <c r="C6" s="25" t="s">
        <v>20</v>
      </c>
      <c r="D6" s="5" t="s">
        <v>9</v>
      </c>
      <c r="E6" s="5"/>
      <c r="F6" s="5">
        <v>339</v>
      </c>
      <c r="G6" s="5">
        <v>1</v>
      </c>
      <c r="H6" s="5">
        <v>120</v>
      </c>
      <c r="I6" s="5">
        <v>1</v>
      </c>
      <c r="J6" s="5">
        <v>5000</v>
      </c>
      <c r="K6" s="5">
        <v>65</v>
      </c>
      <c r="L6" s="5">
        <v>1</v>
      </c>
      <c r="M6" s="5">
        <f>(170.5+178.5+165+163)-(152+160.5+145.5+143.5)</f>
        <v>75.5</v>
      </c>
      <c r="N6" s="26">
        <f t="shared" si="0"/>
        <v>34.318181818181813</v>
      </c>
      <c r="O6" s="27">
        <f t="shared" si="4"/>
        <v>0.28598484848484845</v>
      </c>
      <c r="P6" s="5">
        <v>1</v>
      </c>
      <c r="Q6" s="28"/>
      <c r="R6" s="28"/>
      <c r="S6" s="28"/>
      <c r="T6" s="28"/>
      <c r="U6" s="82" t="str">
        <f t="shared" si="1"/>
        <v>-</v>
      </c>
      <c r="V6" s="82" t="str">
        <f t="shared" si="2"/>
        <v>-</v>
      </c>
      <c r="W6" s="82" t="str">
        <f t="shared" si="3"/>
        <v>-</v>
      </c>
      <c r="X6" s="29">
        <v>1293</v>
      </c>
      <c r="Y6" s="29">
        <v>1078</v>
      </c>
      <c r="Z6" s="53">
        <f t="shared" si="5"/>
        <v>0.16627996906419185</v>
      </c>
      <c r="AA6" s="52">
        <v>1.2999999999999999E-2</v>
      </c>
      <c r="AH6" s="52">
        <v>1.2999999999999999E-2</v>
      </c>
      <c r="AI6" s="5">
        <v>4.9698887414514642E-2</v>
      </c>
      <c r="AJ6" s="5">
        <v>8.0616515259773397E-2</v>
      </c>
      <c r="AK6" s="6">
        <v>1.6321322853934878E-3</v>
      </c>
      <c r="AL6" s="4">
        <v>4.9698887414514642E-2</v>
      </c>
      <c r="AM6" s="5">
        <v>8.0616515259773397E-2</v>
      </c>
      <c r="AN6" s="6">
        <v>1.6321322853934878E-3</v>
      </c>
    </row>
    <row r="7" spans="2:40" x14ac:dyDescent="0.35">
      <c r="B7" s="19">
        <v>4</v>
      </c>
      <c r="C7" s="25" t="s">
        <v>20</v>
      </c>
      <c r="D7" s="5" t="s">
        <v>9</v>
      </c>
      <c r="E7" s="5"/>
      <c r="F7" s="5">
        <v>339</v>
      </c>
      <c r="G7" s="5">
        <v>2</v>
      </c>
      <c r="H7" s="5">
        <v>120</v>
      </c>
      <c r="I7" s="5">
        <v>2</v>
      </c>
      <c r="J7" s="5">
        <v>5000</v>
      </c>
      <c r="K7" s="5">
        <v>65</v>
      </c>
      <c r="L7" s="5">
        <v>1</v>
      </c>
      <c r="M7" s="5">
        <f>(152+160.5+145.5+143.5)-(138.5+147+131.5+129)</f>
        <v>55.5</v>
      </c>
      <c r="N7" s="26">
        <f t="shared" si="0"/>
        <v>25.227272727272727</v>
      </c>
      <c r="O7" s="27">
        <f t="shared" si="4"/>
        <v>0.21022727272727273</v>
      </c>
      <c r="P7" s="5">
        <v>1</v>
      </c>
      <c r="Q7" s="28"/>
      <c r="R7" s="28"/>
      <c r="S7" s="28"/>
      <c r="T7" s="28"/>
      <c r="U7" s="82" t="str">
        <f t="shared" si="1"/>
        <v>-</v>
      </c>
      <c r="V7" s="82" t="str">
        <f t="shared" si="2"/>
        <v>-</v>
      </c>
      <c r="W7" s="82" t="str">
        <f t="shared" si="3"/>
        <v>-</v>
      </c>
      <c r="X7" s="29">
        <v>1356.5</v>
      </c>
      <c r="Y7" s="29">
        <v>1161</v>
      </c>
      <c r="Z7" s="53">
        <f t="shared" si="5"/>
        <v>0.14412089937338735</v>
      </c>
      <c r="AA7" s="52">
        <v>1.4200000000000001E-2</v>
      </c>
      <c r="AH7" s="52">
        <v>1.4200000000000001E-2</v>
      </c>
      <c r="AI7" s="5">
        <v>4.9698887414514642E-2</v>
      </c>
      <c r="AJ7" s="5">
        <v>8.0616515259773397E-2</v>
      </c>
      <c r="AK7" s="6">
        <v>1.6321322853934878E-3</v>
      </c>
      <c r="AL7" s="4">
        <v>4.9698887414514642E-2</v>
      </c>
      <c r="AM7" s="5">
        <v>8.0616515259773397E-2</v>
      </c>
      <c r="AN7" s="6">
        <v>1.6321322853934878E-3</v>
      </c>
    </row>
    <row r="8" spans="2:40" x14ac:dyDescent="0.35">
      <c r="B8" s="19">
        <v>5</v>
      </c>
      <c r="C8" s="25" t="s">
        <v>20</v>
      </c>
      <c r="D8" s="5" t="s">
        <v>9</v>
      </c>
      <c r="E8" s="5"/>
      <c r="F8" s="5">
        <v>339</v>
      </c>
      <c r="G8" s="5">
        <v>3</v>
      </c>
      <c r="H8" s="5">
        <v>120</v>
      </c>
      <c r="I8" s="5"/>
      <c r="J8" s="5">
        <v>5000</v>
      </c>
      <c r="K8" s="5">
        <v>65</v>
      </c>
      <c r="L8" s="5">
        <v>1</v>
      </c>
      <c r="M8" s="5"/>
      <c r="N8" s="26">
        <f t="shared" si="0"/>
        <v>0</v>
      </c>
      <c r="O8" s="27">
        <f t="shared" si="4"/>
        <v>0</v>
      </c>
      <c r="P8" s="5"/>
      <c r="Q8" s="28"/>
      <c r="R8" s="28"/>
      <c r="S8" s="28"/>
      <c r="T8" s="28"/>
      <c r="U8" s="82" t="str">
        <f t="shared" si="1"/>
        <v>-</v>
      </c>
      <c r="V8" s="82" t="str">
        <f t="shared" si="2"/>
        <v>-</v>
      </c>
      <c r="W8" s="82" t="str">
        <f t="shared" si="3"/>
        <v>-</v>
      </c>
      <c r="X8" s="29">
        <v>1305</v>
      </c>
      <c r="Y8" s="29">
        <v>1113.5</v>
      </c>
      <c r="Z8" s="53">
        <f t="shared" si="5"/>
        <v>0.14674329501915706</v>
      </c>
      <c r="AA8" s="52">
        <v>1.4200000000000001E-2</v>
      </c>
      <c r="AH8" s="52">
        <v>1.4200000000000001E-2</v>
      </c>
      <c r="AI8" s="5">
        <v>4.9698887414514642E-2</v>
      </c>
      <c r="AJ8" s="5">
        <v>8.0616515259773397E-2</v>
      </c>
      <c r="AK8" s="6">
        <v>1.6321322853934878E-3</v>
      </c>
      <c r="AL8" s="4">
        <v>4.9698887414514642E-2</v>
      </c>
      <c r="AM8" s="5">
        <v>8.0616515259773397E-2</v>
      </c>
      <c r="AN8" s="6">
        <v>1.6321322853934878E-3</v>
      </c>
    </row>
    <row r="9" spans="2:40" x14ac:dyDescent="0.35">
      <c r="B9" s="19">
        <v>6</v>
      </c>
      <c r="C9" s="25" t="s">
        <v>20</v>
      </c>
      <c r="D9" s="5" t="s">
        <v>9</v>
      </c>
      <c r="E9" s="5"/>
      <c r="F9" s="5">
        <v>339</v>
      </c>
      <c r="G9" s="5">
        <v>4</v>
      </c>
      <c r="H9" s="5">
        <v>120</v>
      </c>
      <c r="I9" s="5"/>
      <c r="J9" s="5">
        <v>5000</v>
      </c>
      <c r="K9" s="5">
        <v>65</v>
      </c>
      <c r="L9" s="5">
        <v>1</v>
      </c>
      <c r="M9" s="5"/>
      <c r="N9" s="26">
        <f t="shared" si="0"/>
        <v>0</v>
      </c>
      <c r="O9" s="27">
        <f t="shared" si="4"/>
        <v>0</v>
      </c>
      <c r="P9" s="5"/>
      <c r="Q9" s="28"/>
      <c r="R9" s="28"/>
      <c r="S9" s="28"/>
      <c r="T9" s="28"/>
      <c r="U9" s="82" t="str">
        <f t="shared" si="1"/>
        <v>-</v>
      </c>
      <c r="V9" s="82" t="str">
        <f t="shared" si="2"/>
        <v>-</v>
      </c>
      <c r="W9" s="82" t="str">
        <f t="shared" si="3"/>
        <v>-</v>
      </c>
      <c r="X9" s="29">
        <v>1362.5</v>
      </c>
      <c r="Y9" s="29">
        <v>1149.5</v>
      </c>
      <c r="Z9" s="53">
        <f t="shared" si="5"/>
        <v>0.15633027522935783</v>
      </c>
      <c r="AA9" s="52">
        <v>1.23E-2</v>
      </c>
      <c r="AH9" s="52">
        <v>1.23E-2</v>
      </c>
      <c r="AI9" s="5">
        <v>4.9698887414514642E-2</v>
      </c>
      <c r="AJ9" s="5">
        <v>8.0616515259773397E-2</v>
      </c>
      <c r="AK9" s="6">
        <v>1.6321322853934878E-3</v>
      </c>
      <c r="AL9" s="4">
        <v>4.9698887414514642E-2</v>
      </c>
      <c r="AM9" s="5">
        <v>8.0616515259773397E-2</v>
      </c>
      <c r="AN9" s="6">
        <v>1.6321322853934878E-3</v>
      </c>
    </row>
    <row r="10" spans="2:40" x14ac:dyDescent="0.35">
      <c r="B10" s="19">
        <v>7</v>
      </c>
      <c r="C10" s="25" t="s">
        <v>19</v>
      </c>
      <c r="D10" s="5" t="s">
        <v>9</v>
      </c>
      <c r="E10" s="5"/>
      <c r="F10" s="5">
        <v>339</v>
      </c>
      <c r="G10" s="5">
        <v>5</v>
      </c>
      <c r="H10" s="5">
        <v>120</v>
      </c>
      <c r="I10" s="5">
        <v>2</v>
      </c>
      <c r="J10" s="5">
        <v>5000</v>
      </c>
      <c r="K10" s="5">
        <v>65</v>
      </c>
      <c r="L10" s="5">
        <v>1</v>
      </c>
      <c r="M10" s="5">
        <f>(155.5+165+178+169.5)-(130.5+138.5+151+169.5)</f>
        <v>78.5</v>
      </c>
      <c r="N10" s="26">
        <f t="shared" si="0"/>
        <v>35.68181818181818</v>
      </c>
      <c r="O10" s="27">
        <f t="shared" si="4"/>
        <v>0.29734848484848481</v>
      </c>
      <c r="P10" s="5">
        <v>1</v>
      </c>
      <c r="Q10" s="28"/>
      <c r="R10" s="28"/>
      <c r="S10" s="28"/>
      <c r="T10" s="28"/>
      <c r="U10" s="82" t="str">
        <f t="shared" si="1"/>
        <v>-</v>
      </c>
      <c r="V10" s="82" t="str">
        <f t="shared" si="2"/>
        <v>-</v>
      </c>
      <c r="W10" s="82" t="str">
        <f t="shared" si="3"/>
        <v>-</v>
      </c>
      <c r="X10" s="29">
        <v>1351.5</v>
      </c>
      <c r="Y10" s="29">
        <v>1121.5</v>
      </c>
      <c r="Z10" s="53">
        <f t="shared" si="5"/>
        <v>0.17018128005919353</v>
      </c>
      <c r="AA10" s="52">
        <v>9.2999999999999992E-3</v>
      </c>
      <c r="AH10" s="52">
        <v>9.2999999999999992E-3</v>
      </c>
      <c r="AI10" s="5">
        <v>4.9698887414514642E-2</v>
      </c>
      <c r="AJ10" s="5">
        <v>8.0616515259773397E-2</v>
      </c>
      <c r="AK10" s="6">
        <v>1.6321322853934878E-3</v>
      </c>
      <c r="AL10" s="4">
        <v>4.9698887414514642E-2</v>
      </c>
      <c r="AM10" s="5">
        <v>8.0616515259773397E-2</v>
      </c>
      <c r="AN10" s="6">
        <v>1.6321322853934878E-3</v>
      </c>
    </row>
    <row r="11" spans="2:40" x14ac:dyDescent="0.35">
      <c r="B11" s="19">
        <v>8</v>
      </c>
      <c r="C11" s="25" t="s">
        <v>19</v>
      </c>
      <c r="D11" s="5" t="s">
        <v>9</v>
      </c>
      <c r="E11" s="5"/>
      <c r="F11" s="5">
        <v>339</v>
      </c>
      <c r="G11" s="5">
        <v>6</v>
      </c>
      <c r="H11" s="5">
        <v>120</v>
      </c>
      <c r="I11" s="5">
        <v>1</v>
      </c>
      <c r="J11" s="5">
        <v>5000</v>
      </c>
      <c r="K11" s="5">
        <v>65</v>
      </c>
      <c r="L11" s="5">
        <v>1</v>
      </c>
      <c r="M11" s="5">
        <f>(130.5+138.5+151+169.5)-(121+128+144.5+158)</f>
        <v>38</v>
      </c>
      <c r="N11" s="26">
        <f t="shared" si="0"/>
        <v>17.27272727272727</v>
      </c>
      <c r="O11" s="27">
        <f t="shared" si="4"/>
        <v>0.14393939393939392</v>
      </c>
      <c r="P11" s="5">
        <v>1</v>
      </c>
      <c r="Q11" s="28"/>
      <c r="R11" s="28"/>
      <c r="S11" s="28"/>
      <c r="T11" s="28"/>
      <c r="U11" s="82" t="str">
        <f t="shared" si="1"/>
        <v>-</v>
      </c>
      <c r="V11" s="82" t="str">
        <f t="shared" si="2"/>
        <v>-</v>
      </c>
      <c r="W11" s="82" t="str">
        <f t="shared" si="3"/>
        <v>-</v>
      </c>
      <c r="X11" s="29">
        <v>1314</v>
      </c>
      <c r="Y11" s="29">
        <v>1102.5</v>
      </c>
      <c r="Z11" s="53">
        <f t="shared" si="5"/>
        <v>0.16095890410958902</v>
      </c>
      <c r="AA11" s="52">
        <v>8.3999999999999995E-3</v>
      </c>
      <c r="AH11" s="52">
        <v>8.3999999999999995E-3</v>
      </c>
      <c r="AI11" s="5">
        <v>4.9698887414514642E-2</v>
      </c>
      <c r="AJ11" s="5">
        <v>8.0616515259773397E-2</v>
      </c>
      <c r="AK11" s="6">
        <v>1.6321322853934878E-3</v>
      </c>
      <c r="AL11" s="4">
        <v>4.9698887414514642E-2</v>
      </c>
      <c r="AM11" s="5">
        <v>8.0616515259773397E-2</v>
      </c>
      <c r="AN11" s="6">
        <v>1.6321322853934878E-3</v>
      </c>
    </row>
    <row r="12" spans="2:40" x14ac:dyDescent="0.35">
      <c r="B12" s="19">
        <v>9</v>
      </c>
      <c r="C12" s="25" t="s">
        <v>19</v>
      </c>
      <c r="D12" s="5" t="s">
        <v>9</v>
      </c>
      <c r="E12" s="5"/>
      <c r="F12" s="5">
        <v>339</v>
      </c>
      <c r="G12" s="5">
        <v>7</v>
      </c>
      <c r="H12" s="5">
        <v>60</v>
      </c>
      <c r="I12" s="5">
        <v>1</v>
      </c>
      <c r="J12" s="5">
        <v>5000</v>
      </c>
      <c r="K12" s="5">
        <v>65</v>
      </c>
      <c r="L12" s="5">
        <v>1</v>
      </c>
      <c r="M12" s="5">
        <f>(151.5+152.5)-(134+136.5)</f>
        <v>33.5</v>
      </c>
      <c r="N12" s="26">
        <f t="shared" si="0"/>
        <v>15.227272727272727</v>
      </c>
      <c r="O12" s="27">
        <f t="shared" si="4"/>
        <v>0.25378787878787878</v>
      </c>
      <c r="P12" s="5">
        <v>1</v>
      </c>
      <c r="Q12" s="28" t="s">
        <v>23</v>
      </c>
      <c r="R12" s="28"/>
      <c r="S12" s="28"/>
      <c r="T12" s="28"/>
      <c r="U12" s="82" t="str">
        <f t="shared" si="1"/>
        <v>-</v>
      </c>
      <c r="V12" s="82" t="str">
        <f t="shared" si="2"/>
        <v>-</v>
      </c>
      <c r="W12" s="82" t="str">
        <f t="shared" si="3"/>
        <v>-</v>
      </c>
      <c r="X12" s="29">
        <v>379.5</v>
      </c>
      <c r="Y12" s="29">
        <v>319.5</v>
      </c>
      <c r="Z12" s="53">
        <f t="shared" si="5"/>
        <v>0.15810276679841895</v>
      </c>
      <c r="AA12" s="52">
        <v>1.7100000000000001E-2</v>
      </c>
      <c r="AH12" s="52">
        <v>1.7100000000000001E-2</v>
      </c>
      <c r="AI12" s="5">
        <v>4.9698887414514642E-2</v>
      </c>
      <c r="AJ12" s="5">
        <v>8.0616515259773397E-2</v>
      </c>
      <c r="AK12" s="6">
        <v>1.6321322853934878E-3</v>
      </c>
      <c r="AL12" s="4">
        <v>4.9698887414514642E-2</v>
      </c>
      <c r="AM12" s="5">
        <v>8.0616515259773397E-2</v>
      </c>
      <c r="AN12" s="6">
        <v>1.6321322853934878E-3</v>
      </c>
    </row>
    <row r="13" spans="2:40" x14ac:dyDescent="0.35">
      <c r="B13" s="19">
        <v>10</v>
      </c>
      <c r="C13" s="25" t="s">
        <v>26</v>
      </c>
      <c r="D13" s="5" t="s">
        <v>27</v>
      </c>
      <c r="E13" s="5"/>
      <c r="F13" s="5">
        <v>255</v>
      </c>
      <c r="G13" s="5">
        <v>1</v>
      </c>
      <c r="H13" s="5">
        <v>120</v>
      </c>
      <c r="I13" s="5">
        <v>1</v>
      </c>
      <c r="J13" s="5">
        <v>5000</v>
      </c>
      <c r="K13" s="5">
        <v>65</v>
      </c>
      <c r="L13" s="5">
        <v>1</v>
      </c>
      <c r="M13" s="5">
        <f>(154.5+161.5+166.5+173.5)-(132+138+143+150.5)</f>
        <v>92.5</v>
      </c>
      <c r="N13" s="26">
        <f t="shared" ref="N13" si="6">M13/2.2</f>
        <v>42.04545454545454</v>
      </c>
      <c r="O13" s="27">
        <f t="shared" ref="O13" si="7">N13/H13</f>
        <v>0.35037878787878785</v>
      </c>
      <c r="P13" s="5">
        <v>0</v>
      </c>
      <c r="Q13" s="28" t="s">
        <v>28</v>
      </c>
      <c r="R13" s="28"/>
      <c r="S13" s="28"/>
      <c r="T13" s="28"/>
      <c r="U13" s="82" t="str">
        <f t="shared" si="1"/>
        <v>-</v>
      </c>
      <c r="V13" s="82" t="str">
        <f t="shared" si="2"/>
        <v>-</v>
      </c>
      <c r="W13" s="82" t="str">
        <f t="shared" si="3"/>
        <v>-</v>
      </c>
      <c r="X13" s="29">
        <v>1497</v>
      </c>
      <c r="Y13" s="29">
        <v>1190</v>
      </c>
      <c r="Z13" s="53">
        <f t="shared" si="5"/>
        <v>0.20507682030728125</v>
      </c>
      <c r="AA13" s="52">
        <v>1.83E-2</v>
      </c>
      <c r="AH13" s="52">
        <v>1.83E-2</v>
      </c>
      <c r="AI13" s="5">
        <v>0.17286963595688429</v>
      </c>
      <c r="AJ13" s="5">
        <v>5.08440105755542E-4</v>
      </c>
      <c r="AK13" s="6">
        <v>1.9320724018710594E-3</v>
      </c>
      <c r="AL13" s="4">
        <v>0.17286963595688429</v>
      </c>
      <c r="AM13" s="5">
        <v>5.08440105755542E-4</v>
      </c>
      <c r="AN13" s="6">
        <v>1.9320724018710594E-3</v>
      </c>
    </row>
    <row r="14" spans="2:40" x14ac:dyDescent="0.35">
      <c r="B14" s="19">
        <v>11</v>
      </c>
      <c r="C14" s="25" t="s">
        <v>26</v>
      </c>
      <c r="D14" s="5" t="s">
        <v>27</v>
      </c>
      <c r="E14" s="5"/>
      <c r="F14" s="5">
        <v>255</v>
      </c>
      <c r="G14" s="5">
        <v>2</v>
      </c>
      <c r="H14" s="5">
        <v>120</v>
      </c>
      <c r="I14" s="5">
        <v>2</v>
      </c>
      <c r="J14" s="5">
        <v>5000</v>
      </c>
      <c r="K14" s="5">
        <v>65</v>
      </c>
      <c r="L14" s="5">
        <v>1</v>
      </c>
      <c r="M14" s="5">
        <f>(132+138+143+150.5)-(119+124+132.5+138)</f>
        <v>50</v>
      </c>
      <c r="N14" s="26">
        <f t="shared" ref="N14" si="8">M14/2.2</f>
        <v>22.727272727272727</v>
      </c>
      <c r="O14" s="27">
        <f t="shared" ref="O14" si="9">N14/H14</f>
        <v>0.18939393939393939</v>
      </c>
      <c r="P14" s="5">
        <v>0</v>
      </c>
      <c r="Q14" s="28"/>
      <c r="R14" s="28"/>
      <c r="S14" s="28"/>
      <c r="T14" s="28"/>
      <c r="U14" s="82" t="str">
        <f t="shared" si="1"/>
        <v>-</v>
      </c>
      <c r="V14" s="82" t="str">
        <f t="shared" si="2"/>
        <v>-</v>
      </c>
      <c r="W14" s="82" t="str">
        <f t="shared" si="3"/>
        <v>-</v>
      </c>
      <c r="X14" s="29">
        <v>1424</v>
      </c>
      <c r="Y14" s="29">
        <v>1189</v>
      </c>
      <c r="Z14" s="53">
        <f t="shared" si="5"/>
        <v>0.16502808988764039</v>
      </c>
      <c r="AA14" s="52">
        <v>1.3299999999999999E-2</v>
      </c>
      <c r="AH14" s="52">
        <v>1.3299999999999999E-2</v>
      </c>
      <c r="AI14" s="5">
        <v>0.17286963595688429</v>
      </c>
      <c r="AJ14" s="5">
        <v>5.08440105755542E-4</v>
      </c>
      <c r="AK14" s="6">
        <v>1.9320724018710594E-3</v>
      </c>
      <c r="AL14" s="4">
        <v>0.17286963595688429</v>
      </c>
      <c r="AM14" s="5">
        <v>5.08440105755542E-4</v>
      </c>
      <c r="AN14" s="6">
        <v>1.9320724018710594E-3</v>
      </c>
    </row>
    <row r="15" spans="2:40" x14ac:dyDescent="0.35">
      <c r="B15" s="19">
        <v>12</v>
      </c>
      <c r="C15" s="25" t="s">
        <v>26</v>
      </c>
      <c r="D15" s="5" t="s">
        <v>27</v>
      </c>
      <c r="E15" s="5"/>
      <c r="F15" s="5">
        <v>255</v>
      </c>
      <c r="G15" s="5">
        <v>3</v>
      </c>
      <c r="H15" s="5">
        <v>300</v>
      </c>
      <c r="I15" s="5">
        <v>1</v>
      </c>
      <c r="J15" s="5">
        <v>5000</v>
      </c>
      <c r="K15" s="5">
        <v>65</v>
      </c>
      <c r="L15" s="5">
        <v>1</v>
      </c>
      <c r="M15" s="5">
        <f>((157.5+163+163.5+172)-(122+125.5+125.5+134))/2</f>
        <v>74.5</v>
      </c>
      <c r="N15" s="26">
        <f t="shared" ref="N15:N16" si="10">M15/2.2</f>
        <v>33.86363636363636</v>
      </c>
      <c r="O15" s="27">
        <f t="shared" ref="O15:O16" si="11">N15/H15</f>
        <v>0.11287878787878787</v>
      </c>
      <c r="P15" s="5">
        <v>0</v>
      </c>
      <c r="Q15" s="28" t="s">
        <v>31</v>
      </c>
      <c r="R15" s="28"/>
      <c r="S15" s="28"/>
      <c r="T15" s="28"/>
      <c r="U15" s="82" t="str">
        <f t="shared" si="1"/>
        <v>-</v>
      </c>
      <c r="V15" s="82" t="str">
        <f t="shared" si="2"/>
        <v>-</v>
      </c>
      <c r="W15" s="82" t="str">
        <f t="shared" si="3"/>
        <v>-</v>
      </c>
      <c r="X15" s="29">
        <v>1627</v>
      </c>
      <c r="Y15" s="29">
        <v>1410.5</v>
      </c>
      <c r="Z15" s="53">
        <f t="shared" si="5"/>
        <v>0.13306699446834669</v>
      </c>
      <c r="AA15" s="52">
        <v>2.5700000000000001E-2</v>
      </c>
      <c r="AH15" s="52">
        <v>2.5700000000000001E-2</v>
      </c>
      <c r="AI15" s="5">
        <v>0.17286963595688429</v>
      </c>
      <c r="AJ15" s="5">
        <v>5.08440105755542E-4</v>
      </c>
      <c r="AK15" s="6">
        <v>1.9320724018710594E-3</v>
      </c>
      <c r="AL15" s="4">
        <v>0.17286963595688429</v>
      </c>
      <c r="AM15" s="5">
        <v>5.08440105755542E-4</v>
      </c>
      <c r="AN15" s="6">
        <v>1.9320724018710594E-3</v>
      </c>
    </row>
    <row r="16" spans="2:40" x14ac:dyDescent="0.35">
      <c r="B16" s="19">
        <v>13</v>
      </c>
      <c r="C16" s="25" t="s">
        <v>26</v>
      </c>
      <c r="D16" s="5" t="s">
        <v>27</v>
      </c>
      <c r="E16" s="5"/>
      <c r="F16" s="5">
        <v>255</v>
      </c>
      <c r="G16" s="5">
        <v>4</v>
      </c>
      <c r="H16" s="5">
        <v>300</v>
      </c>
      <c r="I16" s="5">
        <v>2</v>
      </c>
      <c r="J16" s="5">
        <v>5000</v>
      </c>
      <c r="K16" s="5">
        <v>65</v>
      </c>
      <c r="L16" s="5">
        <v>1</v>
      </c>
      <c r="M16" s="5">
        <f>((157.5+163+163.5+172)-(122+125.5+125.5+134))/2</f>
        <v>74.5</v>
      </c>
      <c r="N16" s="26">
        <f t="shared" si="10"/>
        <v>33.86363636363636</v>
      </c>
      <c r="O16" s="27">
        <f t="shared" si="11"/>
        <v>0.11287878787878787</v>
      </c>
      <c r="P16" s="5">
        <v>0</v>
      </c>
      <c r="Q16" s="28" t="s">
        <v>32</v>
      </c>
      <c r="R16" s="28"/>
      <c r="S16" s="28"/>
      <c r="T16" s="28"/>
      <c r="U16" s="82" t="str">
        <f t="shared" si="1"/>
        <v>-</v>
      </c>
      <c r="V16" s="82" t="str">
        <f t="shared" si="2"/>
        <v>-</v>
      </c>
      <c r="W16" s="82" t="str">
        <f t="shared" si="3"/>
        <v>-</v>
      </c>
      <c r="X16" s="29">
        <v>1530</v>
      </c>
      <c r="Y16" s="29">
        <v>1192</v>
      </c>
      <c r="Z16" s="53">
        <f t="shared" si="5"/>
        <v>0.22091503267973855</v>
      </c>
      <c r="AA16" s="52">
        <v>1.5299999999999999E-2</v>
      </c>
      <c r="AH16" s="52">
        <v>1.5299999999999999E-2</v>
      </c>
      <c r="AI16" s="5">
        <v>0.17286963595688429</v>
      </c>
      <c r="AJ16" s="5">
        <v>5.08440105755542E-4</v>
      </c>
      <c r="AK16" s="6">
        <v>1.9320724018710594E-3</v>
      </c>
      <c r="AL16" s="4">
        <v>0.17286963595688429</v>
      </c>
      <c r="AM16" s="5">
        <v>5.08440105755542E-4</v>
      </c>
      <c r="AN16" s="6">
        <v>1.9320724018710594E-3</v>
      </c>
    </row>
    <row r="17" spans="2:40" x14ac:dyDescent="0.35">
      <c r="B17" s="19">
        <v>14</v>
      </c>
      <c r="C17" s="25" t="s">
        <v>33</v>
      </c>
      <c r="D17" s="5" t="s">
        <v>27</v>
      </c>
      <c r="E17" s="5"/>
      <c r="F17" s="5">
        <v>255</v>
      </c>
      <c r="G17" s="5">
        <v>5</v>
      </c>
      <c r="H17" s="5">
        <v>120</v>
      </c>
      <c r="I17" s="5">
        <v>1</v>
      </c>
      <c r="J17" s="5">
        <v>5000</v>
      </c>
      <c r="K17" s="5">
        <v>65</v>
      </c>
      <c r="L17" s="5">
        <v>1</v>
      </c>
      <c r="M17" s="5">
        <f>(180.5+165)-(149+132)</f>
        <v>64.5</v>
      </c>
      <c r="N17" s="26">
        <f t="shared" ref="N17" si="12">M17/2.2</f>
        <v>29.318181818181817</v>
      </c>
      <c r="O17" s="27">
        <f t="shared" ref="O17" si="13">N17/H17</f>
        <v>0.2443181818181818</v>
      </c>
      <c r="P17" s="5">
        <v>0</v>
      </c>
      <c r="Q17" s="28" t="s">
        <v>34</v>
      </c>
      <c r="R17" s="28"/>
      <c r="S17" s="28"/>
      <c r="T17" s="28"/>
      <c r="U17" s="82" t="str">
        <f t="shared" si="1"/>
        <v>-</v>
      </c>
      <c r="V17" s="82" t="str">
        <f t="shared" si="2"/>
        <v>-</v>
      </c>
      <c r="W17" s="82" t="str">
        <f t="shared" si="3"/>
        <v>-</v>
      </c>
      <c r="X17" s="29">
        <v>1568.5</v>
      </c>
      <c r="Y17" s="29">
        <v>1243.5</v>
      </c>
      <c r="Z17" s="53">
        <f t="shared" si="5"/>
        <v>0.20720433535224736</v>
      </c>
      <c r="AA17" s="52">
        <v>1.7500000000000002E-2</v>
      </c>
      <c r="AH17" s="52">
        <v>1.7500000000000002E-2</v>
      </c>
      <c r="AI17" s="5">
        <v>0.17286963595688429</v>
      </c>
      <c r="AJ17" s="5">
        <v>5.08440105755542E-4</v>
      </c>
      <c r="AK17" s="6">
        <v>1.9320724018710594E-3</v>
      </c>
      <c r="AL17" s="4">
        <v>0.17286963595688429</v>
      </c>
      <c r="AM17" s="5">
        <v>5.08440105755542E-4</v>
      </c>
      <c r="AN17" s="6">
        <v>1.9320724018710594E-3</v>
      </c>
    </row>
    <row r="18" spans="2:40" x14ac:dyDescent="0.35">
      <c r="B18" s="19">
        <v>15</v>
      </c>
      <c r="C18" s="25" t="s">
        <v>33</v>
      </c>
      <c r="D18" s="5" t="s">
        <v>27</v>
      </c>
      <c r="E18" s="5"/>
      <c r="F18" s="5">
        <v>255</v>
      </c>
      <c r="G18" s="5">
        <v>6</v>
      </c>
      <c r="H18" s="5">
        <v>60</v>
      </c>
      <c r="I18" s="5">
        <v>2</v>
      </c>
      <c r="J18" s="5">
        <v>5000</v>
      </c>
      <c r="K18" s="5">
        <v>65</v>
      </c>
      <c r="L18" s="5">
        <v>1</v>
      </c>
      <c r="M18" s="5">
        <f>(154+165)-(126.5+158.5)</f>
        <v>34</v>
      </c>
      <c r="N18" s="26">
        <f t="shared" ref="N18" si="14">M18/2.2</f>
        <v>15.454545454545453</v>
      </c>
      <c r="O18" s="27">
        <f t="shared" ref="O18" si="15">N18/H18</f>
        <v>0.25757575757575757</v>
      </c>
      <c r="P18" s="5">
        <v>0</v>
      </c>
      <c r="Q18" s="28" t="s">
        <v>34</v>
      </c>
      <c r="R18" s="28"/>
      <c r="S18" s="28"/>
      <c r="T18" s="28"/>
      <c r="U18" s="82" t="str">
        <f t="shared" si="1"/>
        <v>-</v>
      </c>
      <c r="V18" s="82" t="str">
        <f t="shared" si="2"/>
        <v>-</v>
      </c>
      <c r="W18" s="82" t="str">
        <f t="shared" si="3"/>
        <v>-</v>
      </c>
      <c r="X18" s="29">
        <v>448</v>
      </c>
      <c r="Y18" s="29">
        <v>369.5</v>
      </c>
      <c r="Z18" s="53">
        <f t="shared" si="5"/>
        <v>0.1752232142857143</v>
      </c>
      <c r="AA18" s="52">
        <v>1.23E-2</v>
      </c>
      <c r="AH18" s="52">
        <v>1.23E-2</v>
      </c>
      <c r="AI18" s="5">
        <v>0.17286963595688429</v>
      </c>
      <c r="AJ18" s="5">
        <v>5.08440105755542E-4</v>
      </c>
      <c r="AK18" s="6">
        <v>1.9320724018710594E-3</v>
      </c>
      <c r="AL18" s="4">
        <v>0.17286963595688429</v>
      </c>
      <c r="AM18" s="5">
        <v>5.08440105755542E-4</v>
      </c>
      <c r="AN18" s="6">
        <v>1.9320724018710594E-3</v>
      </c>
    </row>
    <row r="19" spans="2:40" x14ac:dyDescent="0.35">
      <c r="B19" s="19">
        <v>16</v>
      </c>
      <c r="C19" s="25" t="s">
        <v>33</v>
      </c>
      <c r="D19" s="5" t="s">
        <v>27</v>
      </c>
      <c r="E19" s="5"/>
      <c r="F19" s="5">
        <v>255</v>
      </c>
      <c r="G19" s="5">
        <v>7</v>
      </c>
      <c r="H19" s="5">
        <v>90</v>
      </c>
      <c r="I19" s="5">
        <v>1</v>
      </c>
      <c r="J19" s="5">
        <v>5000</v>
      </c>
      <c r="K19" s="5">
        <v>65</v>
      </c>
      <c r="L19" s="5">
        <v>0</v>
      </c>
      <c r="M19" s="5">
        <f>((126.5+158.5+148.5+131)-(119.5+155.5+147.5+129))+((178+159.5+154+167.5)-(152.5+166.5+173+156))</f>
        <v>24</v>
      </c>
      <c r="N19" s="26">
        <f t="shared" ref="N19" si="16">M19/2.2</f>
        <v>10.909090909090908</v>
      </c>
      <c r="O19" s="27">
        <f t="shared" ref="O19" si="17">N19/H19</f>
        <v>0.1212121212121212</v>
      </c>
      <c r="P19" s="5">
        <v>0</v>
      </c>
      <c r="Q19" s="28" t="s">
        <v>35</v>
      </c>
      <c r="R19" s="28"/>
      <c r="S19" s="28"/>
      <c r="T19" s="28"/>
      <c r="U19" s="82" t="str">
        <f t="shared" si="1"/>
        <v>-</v>
      </c>
      <c r="V19" s="82" t="str">
        <f t="shared" si="2"/>
        <v>-</v>
      </c>
      <c r="W19" s="82" t="str">
        <f t="shared" si="3"/>
        <v>-</v>
      </c>
      <c r="X19" s="30">
        <v>1367</v>
      </c>
      <c r="Y19" s="29">
        <v>1316.5</v>
      </c>
      <c r="Z19" s="53">
        <f t="shared" si="5"/>
        <v>3.6942209217264099E-2</v>
      </c>
      <c r="AA19" s="52">
        <v>2.3300000000000001E-2</v>
      </c>
      <c r="AH19" s="52">
        <v>2.3300000000000001E-2</v>
      </c>
      <c r="AI19" s="8">
        <v>0.17286963595688429</v>
      </c>
      <c r="AJ19" s="8">
        <v>5.08440105755542E-4</v>
      </c>
      <c r="AK19" s="9">
        <v>1.9320724018710594E-3</v>
      </c>
      <c r="AL19" s="7">
        <v>0.17286963595688429</v>
      </c>
      <c r="AM19" s="8">
        <v>5.08440105755542E-4</v>
      </c>
      <c r="AN19" s="9">
        <v>1.9320724018710594E-3</v>
      </c>
    </row>
    <row r="20" spans="2:40" x14ac:dyDescent="0.35">
      <c r="B20" s="19">
        <v>17</v>
      </c>
      <c r="C20" s="25" t="s">
        <v>33</v>
      </c>
      <c r="D20" s="5" t="s">
        <v>27</v>
      </c>
      <c r="E20" s="5"/>
      <c r="F20" s="5">
        <v>255</v>
      </c>
      <c r="G20" s="5">
        <v>8</v>
      </c>
      <c r="H20" s="5">
        <v>50</v>
      </c>
      <c r="I20" s="5">
        <v>2</v>
      </c>
      <c r="J20" s="5">
        <v>5000</v>
      </c>
      <c r="K20" s="5">
        <v>65</v>
      </c>
      <c r="L20" s="5">
        <v>0</v>
      </c>
      <c r="M20" s="5">
        <f>(152.5+166.5+173+156)-(144+158.5+163.6+146.5)</f>
        <v>35.399999999999977</v>
      </c>
      <c r="N20" s="26">
        <f t="shared" ref="N20" si="18">M20/2.2</f>
        <v>16.090909090909079</v>
      </c>
      <c r="O20" s="27">
        <f t="shared" ref="O20" si="19">N20/H20</f>
        <v>0.32181818181818156</v>
      </c>
      <c r="P20" s="5">
        <v>0</v>
      </c>
      <c r="Q20" s="28" t="s">
        <v>35</v>
      </c>
      <c r="R20" s="28"/>
      <c r="S20" s="28"/>
      <c r="T20" s="28"/>
      <c r="U20" s="82" t="str">
        <f t="shared" si="1"/>
        <v>-</v>
      </c>
      <c r="V20" s="82" t="str">
        <f t="shared" si="2"/>
        <v>-</v>
      </c>
      <c r="W20" s="82" t="str">
        <f t="shared" si="3"/>
        <v>-</v>
      </c>
      <c r="X20" s="31">
        <v>1144.5</v>
      </c>
      <c r="Y20" s="29">
        <v>1103</v>
      </c>
      <c r="Z20" s="53">
        <f t="shared" si="5"/>
        <v>3.6260375709917025E-2</v>
      </c>
      <c r="AA20" s="52">
        <v>2.6100000000000002E-2</v>
      </c>
      <c r="AH20" s="52">
        <v>2.6100000000000002E-2</v>
      </c>
      <c r="AI20" s="8">
        <v>0.17286963595688429</v>
      </c>
      <c r="AJ20" s="8">
        <v>5.08440105755542E-4</v>
      </c>
      <c r="AK20" s="9">
        <v>1.9320724018710594E-3</v>
      </c>
      <c r="AL20" s="7">
        <v>0.17286963595688429</v>
      </c>
      <c r="AM20" s="8">
        <v>5.08440105755542E-4</v>
      </c>
      <c r="AN20" s="9">
        <v>1.9320724018710594E-3</v>
      </c>
    </row>
    <row r="21" spans="2:40" x14ac:dyDescent="0.35">
      <c r="B21" s="19">
        <v>18</v>
      </c>
      <c r="C21" s="25" t="s">
        <v>36</v>
      </c>
      <c r="D21" s="5" t="s">
        <v>27</v>
      </c>
      <c r="E21" s="5"/>
      <c r="F21" s="5">
        <v>347</v>
      </c>
      <c r="G21" s="5">
        <v>1</v>
      </c>
      <c r="H21" s="5">
        <v>120</v>
      </c>
      <c r="I21" s="5">
        <v>1</v>
      </c>
      <c r="J21" s="5">
        <v>5000</v>
      </c>
      <c r="K21" s="5">
        <v>65</v>
      </c>
      <c r="L21" s="5">
        <v>1</v>
      </c>
      <c r="M21" s="5">
        <f>(162+167)-(125.5+150.5)</f>
        <v>53</v>
      </c>
      <c r="N21" s="26">
        <f t="shared" ref="N21" si="20">M21/2.2</f>
        <v>24.09090909090909</v>
      </c>
      <c r="O21" s="27">
        <f t="shared" ref="O21" si="21">N21/H21</f>
        <v>0.20075757575757575</v>
      </c>
      <c r="P21" s="5">
        <v>1</v>
      </c>
      <c r="Q21" s="28"/>
      <c r="R21" s="28"/>
      <c r="S21" s="28"/>
      <c r="T21" s="28"/>
      <c r="U21" s="82" t="str">
        <f t="shared" si="1"/>
        <v>-</v>
      </c>
      <c r="V21" s="82" t="str">
        <f t="shared" si="2"/>
        <v>-</v>
      </c>
      <c r="W21" s="82" t="str">
        <f t="shared" si="3"/>
        <v>-</v>
      </c>
      <c r="X21" s="28">
        <v>1364.6</v>
      </c>
      <c r="Y21" s="28">
        <v>1147.5</v>
      </c>
      <c r="Z21" s="53">
        <f t="shared" si="5"/>
        <v>0.15909424007035022</v>
      </c>
      <c r="AA21" s="52">
        <v>1.4999999999999999E-2</v>
      </c>
      <c r="AH21" s="52">
        <v>1.4999999999999999E-2</v>
      </c>
      <c r="AI21" s="5">
        <v>0.17409274193548385</v>
      </c>
      <c r="AJ21" s="5">
        <v>6.8387096774193547E-4</v>
      </c>
      <c r="AK21" s="6">
        <v>7.4102822580645157E-3</v>
      </c>
      <c r="AL21" s="4">
        <v>0.17409274193548385</v>
      </c>
      <c r="AM21" s="5">
        <v>6.8387096774193547E-4</v>
      </c>
      <c r="AN21" s="6">
        <v>7.4102822580645157E-3</v>
      </c>
    </row>
    <row r="22" spans="2:40" x14ac:dyDescent="0.35">
      <c r="B22" s="19">
        <v>19</v>
      </c>
      <c r="C22" s="25" t="s">
        <v>36</v>
      </c>
      <c r="D22" s="5" t="s">
        <v>27</v>
      </c>
      <c r="E22" s="5"/>
      <c r="F22" s="5">
        <v>347</v>
      </c>
      <c r="G22" s="5">
        <v>2</v>
      </c>
      <c r="H22" s="5">
        <v>180</v>
      </c>
      <c r="I22" s="5">
        <v>2</v>
      </c>
      <c r="J22" s="5">
        <v>5000</v>
      </c>
      <c r="K22" s="5">
        <v>65</v>
      </c>
      <c r="L22" s="5">
        <v>1</v>
      </c>
      <c r="M22" s="5">
        <f>(155+176+182+167.5)-(130+148+160.5+144.5)</f>
        <v>97.5</v>
      </c>
      <c r="N22" s="26">
        <f t="shared" ref="N22:N24" si="22">M22/2.2</f>
        <v>44.318181818181813</v>
      </c>
      <c r="O22" s="27">
        <f t="shared" ref="O22:O24" si="23">N22/H22</f>
        <v>0.24621212121212119</v>
      </c>
      <c r="P22" s="5"/>
      <c r="Q22" s="28"/>
      <c r="R22" s="28"/>
      <c r="S22" s="28"/>
      <c r="T22" s="28"/>
      <c r="U22" s="82" t="str">
        <f t="shared" si="1"/>
        <v>-</v>
      </c>
      <c r="V22" s="82" t="str">
        <f t="shared" si="2"/>
        <v>-</v>
      </c>
      <c r="W22" s="82" t="str">
        <f t="shared" si="3"/>
        <v>-</v>
      </c>
      <c r="X22" s="28">
        <v>1494.5</v>
      </c>
      <c r="Y22" s="28">
        <v>1187.5</v>
      </c>
      <c r="Z22" s="53">
        <f t="shared" si="5"/>
        <v>0.20541987286717966</v>
      </c>
      <c r="AA22" s="52">
        <v>9.4999999999999998E-3</v>
      </c>
      <c r="AH22" s="52">
        <v>9.4999999999999998E-3</v>
      </c>
      <c r="AI22" s="5">
        <v>0.17409274193548385</v>
      </c>
      <c r="AJ22" s="5">
        <v>6.8387096774193547E-4</v>
      </c>
      <c r="AK22" s="6">
        <v>7.4102822580645157E-3</v>
      </c>
      <c r="AL22" s="4">
        <v>0.17409274193548385</v>
      </c>
      <c r="AM22" s="5">
        <v>6.8387096774193547E-4</v>
      </c>
      <c r="AN22" s="6">
        <v>7.4102822580645157E-3</v>
      </c>
    </row>
    <row r="23" spans="2:40" x14ac:dyDescent="0.35">
      <c r="B23" s="19">
        <v>20</v>
      </c>
      <c r="C23" s="25" t="s">
        <v>36</v>
      </c>
      <c r="D23" s="5" t="s">
        <v>27</v>
      </c>
      <c r="E23" s="5"/>
      <c r="F23" s="5">
        <v>347</v>
      </c>
      <c r="G23" s="5">
        <v>3</v>
      </c>
      <c r="H23" s="5"/>
      <c r="I23" s="5">
        <v>1</v>
      </c>
      <c r="J23" s="5"/>
      <c r="K23" s="5"/>
      <c r="L23" s="5"/>
      <c r="M23" s="5"/>
      <c r="N23" s="26">
        <f t="shared" si="22"/>
        <v>0</v>
      </c>
      <c r="O23" s="27" t="e">
        <f t="shared" si="23"/>
        <v>#DIV/0!</v>
      </c>
      <c r="P23" s="5"/>
      <c r="Q23" s="28"/>
      <c r="R23" s="28"/>
      <c r="S23" s="28"/>
      <c r="T23" s="28"/>
      <c r="U23" s="82" t="str">
        <f t="shared" si="1"/>
        <v>-</v>
      </c>
      <c r="V23" s="82" t="str">
        <f t="shared" si="2"/>
        <v>-</v>
      </c>
      <c r="W23" s="82" t="str">
        <f t="shared" si="3"/>
        <v>-</v>
      </c>
      <c r="X23" s="28">
        <v>1503.5</v>
      </c>
      <c r="Y23" s="28">
        <v>1286.5</v>
      </c>
      <c r="Z23" s="53">
        <f t="shared" si="5"/>
        <v>0.14432989690721654</v>
      </c>
      <c r="AA23" s="52">
        <v>1.5900000000000001E-2</v>
      </c>
      <c r="AH23" s="52">
        <v>1.5900000000000001E-2</v>
      </c>
      <c r="AI23" s="5">
        <v>0.17409274193548385</v>
      </c>
      <c r="AJ23" s="5">
        <v>6.8387096774193547E-4</v>
      </c>
      <c r="AK23" s="6">
        <v>7.4102822580645157E-3</v>
      </c>
      <c r="AL23" s="4">
        <v>0.17409274193548385</v>
      </c>
      <c r="AM23" s="5">
        <v>6.8387096774193547E-4</v>
      </c>
      <c r="AN23" s="6">
        <v>7.4102822580645157E-3</v>
      </c>
    </row>
    <row r="24" spans="2:40" x14ac:dyDescent="0.35">
      <c r="B24" s="19">
        <v>21</v>
      </c>
      <c r="C24" s="25" t="s">
        <v>36</v>
      </c>
      <c r="D24" s="5" t="s">
        <v>27</v>
      </c>
      <c r="E24" s="5"/>
      <c r="F24" s="5">
        <v>347</v>
      </c>
      <c r="G24" s="5">
        <v>4</v>
      </c>
      <c r="H24" s="5"/>
      <c r="I24" s="5">
        <v>2</v>
      </c>
      <c r="J24" s="5"/>
      <c r="K24" s="5"/>
      <c r="L24" s="5"/>
      <c r="M24" s="5"/>
      <c r="N24" s="26">
        <f t="shared" si="22"/>
        <v>0</v>
      </c>
      <c r="O24" s="27" t="e">
        <f t="shared" si="23"/>
        <v>#DIV/0!</v>
      </c>
      <c r="P24" s="5"/>
      <c r="Q24" s="28"/>
      <c r="R24" s="28"/>
      <c r="S24" s="28"/>
      <c r="T24" s="28"/>
      <c r="U24" s="82" t="str">
        <f t="shared" si="1"/>
        <v>-</v>
      </c>
      <c r="V24" s="82" t="str">
        <f t="shared" si="2"/>
        <v>-</v>
      </c>
      <c r="W24" s="82" t="str">
        <f t="shared" si="3"/>
        <v>-</v>
      </c>
      <c r="X24" s="28">
        <v>1453.5</v>
      </c>
      <c r="Y24" s="28">
        <v>1111</v>
      </c>
      <c r="Z24" s="53">
        <f t="shared" si="5"/>
        <v>0.2356381148950808</v>
      </c>
      <c r="AA24" s="52">
        <v>7.1999999999999998E-3</v>
      </c>
      <c r="AH24" s="52">
        <v>7.1999999999999998E-3</v>
      </c>
      <c r="AI24" s="5">
        <v>0.17409274193548385</v>
      </c>
      <c r="AJ24" s="5">
        <v>6.8387096774193547E-4</v>
      </c>
      <c r="AK24" s="6">
        <v>7.4102822580645157E-3</v>
      </c>
      <c r="AL24" s="4">
        <v>0.17409274193548385</v>
      </c>
      <c r="AM24" s="5">
        <v>6.8387096774193547E-4</v>
      </c>
      <c r="AN24" s="6">
        <v>7.4102822580645157E-3</v>
      </c>
    </row>
    <row r="25" spans="2:40" x14ac:dyDescent="0.35">
      <c r="B25" s="19">
        <v>22</v>
      </c>
      <c r="C25" s="32" t="s">
        <v>38</v>
      </c>
      <c r="D25" s="5" t="s">
        <v>27</v>
      </c>
      <c r="E25" s="5"/>
      <c r="F25" s="5">
        <v>347</v>
      </c>
      <c r="G25" s="5">
        <v>5</v>
      </c>
      <c r="H25" s="5">
        <v>180</v>
      </c>
      <c r="I25" s="5">
        <v>1</v>
      </c>
      <c r="J25" s="5">
        <v>5000</v>
      </c>
      <c r="K25" s="5">
        <v>65</v>
      </c>
      <c r="L25" s="5">
        <v>1</v>
      </c>
      <c r="M25" s="5">
        <f>((156.5+175+162.5+167)-(134.5+151.5+146.5+134))+((176+187)-(156.5+169))</f>
        <v>132</v>
      </c>
      <c r="N25" s="26">
        <f t="shared" ref="N25" si="24">M25/2.2</f>
        <v>59.999999999999993</v>
      </c>
      <c r="O25" s="27">
        <f t="shared" ref="O25" si="25">N25/H25</f>
        <v>0.33333333333333331</v>
      </c>
      <c r="P25" s="5">
        <v>1</v>
      </c>
      <c r="Q25" s="28" t="s">
        <v>37</v>
      </c>
      <c r="R25" s="28"/>
      <c r="S25" s="28"/>
      <c r="T25" s="28"/>
      <c r="U25" s="82" t="str">
        <f t="shared" si="1"/>
        <v>-</v>
      </c>
      <c r="V25" s="82" t="str">
        <f t="shared" si="2"/>
        <v>-</v>
      </c>
      <c r="W25" s="82" t="str">
        <f t="shared" si="3"/>
        <v>-</v>
      </c>
      <c r="X25" s="28">
        <v>1071.5</v>
      </c>
      <c r="Y25" s="28">
        <v>845</v>
      </c>
      <c r="Z25" s="53">
        <f t="shared" si="5"/>
        <v>0.21138590760615961</v>
      </c>
      <c r="AA25" s="52">
        <v>6.8999999999999999E-3</v>
      </c>
      <c r="AH25" s="52">
        <v>6.8999999999999999E-3</v>
      </c>
      <c r="AI25" s="5">
        <v>0.17409274193548385</v>
      </c>
      <c r="AJ25" s="5">
        <v>6.8387096774193547E-4</v>
      </c>
      <c r="AK25" s="6">
        <v>7.4102822580645157E-3</v>
      </c>
      <c r="AL25" s="4">
        <v>0.17409274193548385</v>
      </c>
      <c r="AM25" s="5">
        <v>6.8387096774193547E-4</v>
      </c>
      <c r="AN25" s="6">
        <v>7.4102822580645157E-3</v>
      </c>
    </row>
    <row r="26" spans="2:40" x14ac:dyDescent="0.35">
      <c r="B26" s="19">
        <v>23</v>
      </c>
      <c r="C26" s="33" t="s">
        <v>38</v>
      </c>
      <c r="D26" s="5" t="s">
        <v>27</v>
      </c>
      <c r="E26" s="5"/>
      <c r="F26" s="5">
        <v>347</v>
      </c>
      <c r="G26" s="5">
        <v>6</v>
      </c>
      <c r="H26" s="5">
        <v>180</v>
      </c>
      <c r="I26" s="5">
        <v>2</v>
      </c>
      <c r="J26" s="5">
        <v>5000</v>
      </c>
      <c r="K26" s="5">
        <v>65</v>
      </c>
      <c r="L26" s="5">
        <v>1</v>
      </c>
      <c r="M26" s="34">
        <f>((134.5+151.5+146.5+134)-(129.5+190+146+158))+((176+187)-(123+140))</f>
        <v>43</v>
      </c>
      <c r="N26" s="26">
        <f t="shared" ref="N26" si="26">M26/2.2</f>
        <v>19.545454545454543</v>
      </c>
      <c r="O26" s="27">
        <f t="shared" ref="O26" si="27">N26/H26</f>
        <v>0.10858585858585858</v>
      </c>
      <c r="P26" s="5">
        <v>1</v>
      </c>
      <c r="Q26" s="5"/>
      <c r="R26" s="5"/>
      <c r="S26" s="5"/>
      <c r="T26" s="5"/>
      <c r="U26" s="82" t="str">
        <f t="shared" si="1"/>
        <v>-</v>
      </c>
      <c r="V26" s="82" t="str">
        <f t="shared" si="2"/>
        <v>-</v>
      </c>
      <c r="W26" s="82" t="str">
        <f t="shared" si="3"/>
        <v>-</v>
      </c>
      <c r="X26" s="5">
        <v>654</v>
      </c>
      <c r="Y26" s="5">
        <v>513.5</v>
      </c>
      <c r="Z26" s="53">
        <f t="shared" si="5"/>
        <v>0.21483180428134552</v>
      </c>
      <c r="AA26" s="52">
        <v>1.29E-2</v>
      </c>
      <c r="AH26" s="52">
        <v>1.29E-2</v>
      </c>
      <c r="AI26" s="5">
        <v>0.17409274193548385</v>
      </c>
      <c r="AJ26" s="5">
        <v>6.8387096774193547E-4</v>
      </c>
      <c r="AK26" s="6">
        <v>7.4102822580645157E-3</v>
      </c>
      <c r="AL26" s="4">
        <v>0.17409274193548385</v>
      </c>
      <c r="AM26" s="5">
        <v>6.8387096774193547E-4</v>
      </c>
      <c r="AN26" s="6">
        <v>7.4102822580645157E-3</v>
      </c>
    </row>
    <row r="27" spans="2:40" x14ac:dyDescent="0.35">
      <c r="B27" s="19">
        <v>24</v>
      </c>
      <c r="C27" s="33" t="s">
        <v>38</v>
      </c>
      <c r="D27" s="5" t="s">
        <v>27</v>
      </c>
      <c r="E27" s="5"/>
      <c r="F27" s="5">
        <v>347</v>
      </c>
      <c r="G27" s="5">
        <v>7</v>
      </c>
      <c r="H27" s="5">
        <v>90</v>
      </c>
      <c r="I27" s="5">
        <v>1</v>
      </c>
      <c r="J27" s="5">
        <v>5000</v>
      </c>
      <c r="K27" s="5">
        <v>65</v>
      </c>
      <c r="L27" s="5">
        <v>1</v>
      </c>
      <c r="M27" s="5">
        <f>(157.5+189.5+156.5+169)-(129.5+190+146+158)</f>
        <v>49</v>
      </c>
      <c r="N27" s="26">
        <f t="shared" ref="N27" si="28">M27/2.2</f>
        <v>22.27272727272727</v>
      </c>
      <c r="O27" s="27">
        <f t="shared" ref="O27" si="29">N27/H27</f>
        <v>0.24747474747474743</v>
      </c>
      <c r="P27" s="5">
        <v>1</v>
      </c>
      <c r="Q27" s="5"/>
      <c r="R27" s="5"/>
      <c r="S27" s="5"/>
      <c r="T27" s="5"/>
      <c r="U27" s="82" t="str">
        <f t="shared" si="1"/>
        <v>-</v>
      </c>
      <c r="V27" s="82" t="str">
        <f t="shared" si="2"/>
        <v>-</v>
      </c>
      <c r="W27" s="82" t="str">
        <f t="shared" si="3"/>
        <v>-</v>
      </c>
      <c r="X27" s="5">
        <v>1255</v>
      </c>
      <c r="Y27" s="5">
        <v>1152</v>
      </c>
      <c r="Z27" s="53">
        <f t="shared" si="5"/>
        <v>8.2071713147410352E-2</v>
      </c>
      <c r="AA27" s="52">
        <v>1.21E-2</v>
      </c>
      <c r="AH27" s="52">
        <v>1.21E-2</v>
      </c>
      <c r="AI27" s="5">
        <v>0.17409274193548385</v>
      </c>
      <c r="AJ27" s="5">
        <v>6.8387096774193547E-4</v>
      </c>
      <c r="AK27" s="6">
        <v>7.4102822580645157E-3</v>
      </c>
      <c r="AL27" s="4">
        <v>0.17409274193548385</v>
      </c>
      <c r="AM27" s="5">
        <v>6.8387096774193547E-4</v>
      </c>
      <c r="AN27" s="6">
        <v>7.4102822580645157E-3</v>
      </c>
    </row>
    <row r="28" spans="2:40" x14ac:dyDescent="0.35">
      <c r="B28" s="19">
        <v>25</v>
      </c>
      <c r="C28" s="33" t="s">
        <v>39</v>
      </c>
      <c r="D28" s="5" t="s">
        <v>27</v>
      </c>
      <c r="E28" s="5"/>
      <c r="F28" s="5">
        <v>348</v>
      </c>
      <c r="G28" s="5">
        <v>1</v>
      </c>
      <c r="H28" s="5">
        <v>180</v>
      </c>
      <c r="I28" s="5">
        <v>1</v>
      </c>
      <c r="J28" s="5">
        <v>5000</v>
      </c>
      <c r="K28" s="5">
        <v>65</v>
      </c>
      <c r="L28" s="5">
        <v>1</v>
      </c>
      <c r="M28" s="5">
        <f>(176+148+163.5+176.5)-(132.5+145+163+136.5)</f>
        <v>87</v>
      </c>
      <c r="N28" s="26">
        <f t="shared" ref="N28:N32" si="30">M28/2.2</f>
        <v>39.54545454545454</v>
      </c>
      <c r="O28" s="27">
        <f t="shared" ref="O28:O32" si="31">N28/H28</f>
        <v>0.21969696969696967</v>
      </c>
      <c r="P28" s="5">
        <v>1</v>
      </c>
      <c r="Q28" s="5"/>
      <c r="R28" s="5"/>
      <c r="S28" s="5"/>
      <c r="T28" s="5"/>
      <c r="U28" s="82" t="str">
        <f t="shared" si="1"/>
        <v>-</v>
      </c>
      <c r="V28" s="82" t="str">
        <f t="shared" si="2"/>
        <v>-</v>
      </c>
      <c r="W28" s="82" t="str">
        <f t="shared" si="3"/>
        <v>-</v>
      </c>
      <c r="X28" s="5">
        <v>1316</v>
      </c>
      <c r="Y28" s="5">
        <v>1083.5</v>
      </c>
      <c r="Z28" s="53">
        <f t="shared" si="5"/>
        <v>0.17667173252279633</v>
      </c>
      <c r="AA28" s="52">
        <v>3.9E-2</v>
      </c>
      <c r="AH28" s="52">
        <v>3.9E-2</v>
      </c>
      <c r="AI28" s="5">
        <v>0.19758888434818142</v>
      </c>
      <c r="AJ28" s="5">
        <v>5.9123416428279532E-4</v>
      </c>
      <c r="AK28" s="6">
        <v>3.6606048222313035E-3</v>
      </c>
      <c r="AL28" s="4">
        <v>0.19758888434818142</v>
      </c>
      <c r="AM28" s="5">
        <v>5.9123416428279532E-4</v>
      </c>
      <c r="AN28" s="6">
        <v>3.6606048222313035E-3</v>
      </c>
    </row>
    <row r="29" spans="2:40" x14ac:dyDescent="0.35">
      <c r="B29" s="19">
        <v>26</v>
      </c>
      <c r="C29" s="33" t="s">
        <v>39</v>
      </c>
      <c r="D29" s="5" t="s">
        <v>27</v>
      </c>
      <c r="E29" s="5"/>
      <c r="F29" s="5">
        <v>348</v>
      </c>
      <c r="G29" s="5">
        <v>2</v>
      </c>
      <c r="H29" s="5">
        <v>180</v>
      </c>
      <c r="I29" s="5">
        <v>2</v>
      </c>
      <c r="J29" s="5">
        <v>5000</v>
      </c>
      <c r="K29" s="5">
        <v>65</v>
      </c>
      <c r="L29" s="5">
        <v>1</v>
      </c>
      <c r="M29" s="5">
        <f>(163+136.5)-(143+123)+(181+175.5)-(173+149)</f>
        <v>68</v>
      </c>
      <c r="N29" s="26">
        <f t="shared" si="30"/>
        <v>30.909090909090907</v>
      </c>
      <c r="O29" s="27">
        <f t="shared" si="31"/>
        <v>0.17171717171717171</v>
      </c>
      <c r="P29" s="5">
        <v>1</v>
      </c>
      <c r="Q29" s="5"/>
      <c r="R29" s="5"/>
      <c r="S29" s="5"/>
      <c r="T29" s="5"/>
      <c r="U29" s="82" t="str">
        <f t="shared" si="1"/>
        <v>-</v>
      </c>
      <c r="V29" s="82" t="str">
        <f t="shared" si="2"/>
        <v>-</v>
      </c>
      <c r="W29" s="82" t="str">
        <f t="shared" si="3"/>
        <v>-</v>
      </c>
      <c r="X29" s="5">
        <v>1170</v>
      </c>
      <c r="Y29" s="5">
        <v>971.5</v>
      </c>
      <c r="Z29" s="53">
        <f t="shared" si="5"/>
        <v>0.16965811965811961</v>
      </c>
      <c r="AA29" s="52">
        <v>1.8700000000000001E-2</v>
      </c>
      <c r="AH29" s="52">
        <v>1.8700000000000001E-2</v>
      </c>
      <c r="AI29" s="5">
        <v>0.19758888434818142</v>
      </c>
      <c r="AJ29" s="5">
        <v>5.9123416428279532E-4</v>
      </c>
      <c r="AK29" s="6">
        <v>3.6606048222313035E-3</v>
      </c>
      <c r="AL29" s="4">
        <v>0.19758888434818142</v>
      </c>
      <c r="AM29" s="5">
        <v>5.9123416428279532E-4</v>
      </c>
      <c r="AN29" s="6">
        <v>3.6606048222313035E-3</v>
      </c>
    </row>
    <row r="30" spans="2:40" x14ac:dyDescent="0.35">
      <c r="B30" s="19">
        <v>27</v>
      </c>
      <c r="C30" s="33" t="s">
        <v>39</v>
      </c>
      <c r="D30" s="5" t="s">
        <v>27</v>
      </c>
      <c r="E30" s="5"/>
      <c r="F30" s="5">
        <v>348</v>
      </c>
      <c r="G30" s="5">
        <v>3</v>
      </c>
      <c r="H30" s="5">
        <v>180</v>
      </c>
      <c r="I30" s="5">
        <v>1</v>
      </c>
      <c r="J30" s="5">
        <v>5000</v>
      </c>
      <c r="K30" s="5">
        <v>65</v>
      </c>
      <c r="L30" s="5">
        <v>1</v>
      </c>
      <c r="M30" s="5">
        <f>(154.5+163.5+175.5+181)-(134.5+142.5+158.5+144.5)</f>
        <v>94.5</v>
      </c>
      <c r="N30" s="26">
        <f t="shared" si="30"/>
        <v>42.954545454545453</v>
      </c>
      <c r="O30" s="27">
        <f t="shared" si="31"/>
        <v>0.23863636363636362</v>
      </c>
      <c r="P30" s="5">
        <v>1</v>
      </c>
      <c r="Q30" s="5"/>
      <c r="R30" s="5"/>
      <c r="S30" s="5"/>
      <c r="T30" s="5"/>
      <c r="U30" s="82" t="str">
        <f t="shared" si="1"/>
        <v>-</v>
      </c>
      <c r="V30" s="82" t="str">
        <f t="shared" si="2"/>
        <v>-</v>
      </c>
      <c r="W30" s="82" t="str">
        <f t="shared" si="3"/>
        <v>-</v>
      </c>
      <c r="X30" s="5">
        <v>1423.5</v>
      </c>
      <c r="Y30" s="5">
        <v>1145.5</v>
      </c>
      <c r="Z30" s="53">
        <f t="shared" si="5"/>
        <v>0.19529329118370209</v>
      </c>
      <c r="AA30" s="52">
        <v>1.4E-2</v>
      </c>
      <c r="AH30" s="52">
        <v>1.4E-2</v>
      </c>
      <c r="AI30" s="5">
        <v>0.19758888434818142</v>
      </c>
      <c r="AJ30" s="5">
        <v>5.9123416428279532E-4</v>
      </c>
      <c r="AK30" s="6">
        <v>3.6606048222313035E-3</v>
      </c>
      <c r="AL30" s="4">
        <v>0.19758888434818142</v>
      </c>
      <c r="AM30" s="5">
        <v>5.9123416428279532E-4</v>
      </c>
      <c r="AN30" s="6">
        <v>3.6606048222313035E-3</v>
      </c>
    </row>
    <row r="31" spans="2:40" x14ac:dyDescent="0.35">
      <c r="B31" s="19">
        <v>28</v>
      </c>
      <c r="C31" s="33" t="s">
        <v>40</v>
      </c>
      <c r="D31" s="5" t="s">
        <v>27</v>
      </c>
      <c r="E31" s="5"/>
      <c r="F31" s="5">
        <v>348</v>
      </c>
      <c r="G31" s="5">
        <v>4</v>
      </c>
      <c r="H31" s="5">
        <v>210</v>
      </c>
      <c r="I31" s="5">
        <v>1</v>
      </c>
      <c r="J31" s="5">
        <v>5000</v>
      </c>
      <c r="K31" s="5">
        <v>65</v>
      </c>
      <c r="L31" s="5">
        <v>1</v>
      </c>
      <c r="M31" s="5">
        <f>(134.5+142.5+158.5+144)-(124+131.5+130+160+144+140)+(150+160)</f>
        <v>60</v>
      </c>
      <c r="N31" s="26">
        <f t="shared" si="30"/>
        <v>27.27272727272727</v>
      </c>
      <c r="O31" s="27">
        <f t="shared" si="31"/>
        <v>0.12987012987012986</v>
      </c>
      <c r="P31" s="5">
        <v>1</v>
      </c>
      <c r="Q31" s="5"/>
      <c r="R31" s="5"/>
      <c r="S31" s="5"/>
      <c r="T31" s="5"/>
      <c r="U31" s="82" t="str">
        <f t="shared" si="1"/>
        <v>-</v>
      </c>
      <c r="V31" s="82" t="str">
        <f t="shared" si="2"/>
        <v>-</v>
      </c>
      <c r="W31" s="82" t="str">
        <f t="shared" si="3"/>
        <v>-</v>
      </c>
      <c r="X31" s="5">
        <v>1311</v>
      </c>
      <c r="Y31" s="5">
        <v>1050.5</v>
      </c>
      <c r="Z31" s="53">
        <f t="shared" si="5"/>
        <v>0.19870327993897785</v>
      </c>
      <c r="AA31" s="52">
        <v>1.7399999999999999E-2</v>
      </c>
      <c r="AH31" s="52">
        <v>1.7399999999999999E-2</v>
      </c>
      <c r="AI31" s="5">
        <v>0.19758888434818142</v>
      </c>
      <c r="AJ31" s="5">
        <v>5.9123416428279532E-4</v>
      </c>
      <c r="AK31" s="6">
        <v>3.6606048222313035E-3</v>
      </c>
      <c r="AL31" s="4">
        <v>0.19758888434818142</v>
      </c>
      <c r="AM31" s="5">
        <v>5.9123416428279532E-4</v>
      </c>
      <c r="AN31" s="6">
        <v>3.6606048222313035E-3</v>
      </c>
    </row>
    <row r="32" spans="2:40" x14ac:dyDescent="0.35">
      <c r="B32" s="19">
        <v>29</v>
      </c>
      <c r="C32" s="33" t="s">
        <v>40</v>
      </c>
      <c r="D32" s="5" t="s">
        <v>27</v>
      </c>
      <c r="E32" s="5"/>
      <c r="F32" s="5">
        <v>348</v>
      </c>
      <c r="G32" s="5">
        <v>5</v>
      </c>
      <c r="H32" s="5">
        <v>210</v>
      </c>
      <c r="I32" s="5">
        <v>2</v>
      </c>
      <c r="J32" s="5">
        <v>5000</v>
      </c>
      <c r="K32" s="5">
        <v>65</v>
      </c>
      <c r="L32" s="5">
        <v>1</v>
      </c>
      <c r="M32" s="5">
        <f>(129+160+183.5+167)-(113.5+130)-(178.5+161)</f>
        <v>56.5</v>
      </c>
      <c r="N32" s="26">
        <f t="shared" si="30"/>
        <v>25.68181818181818</v>
      </c>
      <c r="O32" s="27">
        <f t="shared" si="31"/>
        <v>0.12229437229437229</v>
      </c>
      <c r="P32" s="5">
        <v>1</v>
      </c>
      <c r="Q32" s="5"/>
      <c r="R32" s="5"/>
      <c r="S32" s="5"/>
      <c r="T32" s="5"/>
      <c r="U32" s="82" t="str">
        <f t="shared" si="1"/>
        <v>-</v>
      </c>
      <c r="V32" s="82" t="str">
        <f t="shared" si="2"/>
        <v>-</v>
      </c>
      <c r="W32" s="82" t="str">
        <f t="shared" si="3"/>
        <v>-</v>
      </c>
      <c r="X32" s="5">
        <v>1394.5</v>
      </c>
      <c r="Y32" s="5">
        <v>1101.5</v>
      </c>
      <c r="Z32" s="53">
        <f t="shared" si="5"/>
        <v>0.21011115095016131</v>
      </c>
      <c r="AA32" s="52">
        <v>1.3299999999999999E-2</v>
      </c>
      <c r="AH32" s="52">
        <v>1.3299999999999999E-2</v>
      </c>
      <c r="AI32" s="5">
        <v>0.19758888434818142</v>
      </c>
      <c r="AJ32" s="5">
        <v>5.9123416428279532E-4</v>
      </c>
      <c r="AK32" s="6">
        <v>3.6606048222313035E-3</v>
      </c>
      <c r="AL32" s="4">
        <v>0.19758888434818142</v>
      </c>
      <c r="AM32" s="5">
        <v>5.9123416428279532E-4</v>
      </c>
      <c r="AN32" s="6">
        <v>3.6606048222313035E-3</v>
      </c>
    </row>
    <row r="33" spans="2:40" x14ac:dyDescent="0.35">
      <c r="B33" s="19">
        <v>30</v>
      </c>
      <c r="C33" s="33" t="s">
        <v>40</v>
      </c>
      <c r="D33" s="5" t="s">
        <v>27</v>
      </c>
      <c r="E33" s="5"/>
      <c r="F33" s="5">
        <v>348</v>
      </c>
      <c r="G33" s="5">
        <v>6</v>
      </c>
      <c r="H33" s="5">
        <v>210</v>
      </c>
      <c r="I33" s="5">
        <v>1</v>
      </c>
      <c r="J33" s="5">
        <v>5000</v>
      </c>
      <c r="K33" s="5">
        <v>65</v>
      </c>
      <c r="L33" s="5">
        <v>1</v>
      </c>
      <c r="M33" s="5">
        <f>(156+167.5+183+166.5)-(125.5+133.5+149+132)</f>
        <v>133</v>
      </c>
      <c r="N33" s="26">
        <f t="shared" ref="N33:N35" si="32">M33/2.2</f>
        <v>60.454545454545446</v>
      </c>
      <c r="O33" s="27">
        <f t="shared" ref="O33:O35" si="33">N33/H33</f>
        <v>0.28787878787878785</v>
      </c>
      <c r="P33" s="5">
        <v>1</v>
      </c>
      <c r="Q33" s="5"/>
      <c r="R33" s="5"/>
      <c r="S33" s="5"/>
      <c r="T33" s="5"/>
      <c r="U33" s="82" t="str">
        <f t="shared" si="1"/>
        <v>-</v>
      </c>
      <c r="V33" s="82" t="str">
        <f t="shared" si="2"/>
        <v>-</v>
      </c>
      <c r="W33" s="82" t="str">
        <f t="shared" si="3"/>
        <v>-</v>
      </c>
      <c r="X33" s="5">
        <v>1508</v>
      </c>
      <c r="Y33" s="5">
        <v>1138.5</v>
      </c>
      <c r="Z33" s="53">
        <f t="shared" si="5"/>
        <v>0.24502652519893897</v>
      </c>
      <c r="AA33" s="52">
        <v>1.26E-2</v>
      </c>
      <c r="AH33" s="52">
        <v>1.26E-2</v>
      </c>
      <c r="AI33" s="5">
        <v>0.19758888434818142</v>
      </c>
      <c r="AJ33" s="5">
        <v>5.9123416428279532E-4</v>
      </c>
      <c r="AK33" s="6">
        <v>3.6606048222313035E-3</v>
      </c>
      <c r="AL33" s="4">
        <v>0.19758888434818142</v>
      </c>
      <c r="AM33" s="5">
        <v>5.9123416428279532E-4</v>
      </c>
      <c r="AN33" s="6">
        <v>3.6606048222313035E-3</v>
      </c>
    </row>
    <row r="34" spans="2:40" x14ac:dyDescent="0.35">
      <c r="B34" s="19">
        <v>31</v>
      </c>
      <c r="C34" s="33" t="s">
        <v>41</v>
      </c>
      <c r="D34" s="5" t="s">
        <v>27</v>
      </c>
      <c r="E34" s="5"/>
      <c r="F34" s="5">
        <v>348</v>
      </c>
      <c r="G34" s="5">
        <v>7</v>
      </c>
      <c r="H34" s="5">
        <v>90</v>
      </c>
      <c r="I34" s="5">
        <v>1</v>
      </c>
      <c r="J34" s="5">
        <v>5000</v>
      </c>
      <c r="K34" s="5">
        <v>65</v>
      </c>
      <c r="L34" s="5">
        <v>1</v>
      </c>
      <c r="M34" s="5">
        <f>(125.5+133.5+149+132)-(121+128.5+144+127.5)</f>
        <v>19</v>
      </c>
      <c r="N34" s="26">
        <f t="shared" si="32"/>
        <v>8.6363636363636349</v>
      </c>
      <c r="O34" s="27">
        <f t="shared" si="33"/>
        <v>9.5959595959595939E-2</v>
      </c>
      <c r="P34" s="5">
        <v>1</v>
      </c>
      <c r="Q34" s="5"/>
      <c r="R34" s="5"/>
      <c r="S34" s="5"/>
      <c r="T34" s="5"/>
      <c r="U34" s="82" t="str">
        <f t="shared" si="1"/>
        <v>-</v>
      </c>
      <c r="V34" s="82" t="str">
        <f t="shared" si="2"/>
        <v>-</v>
      </c>
      <c r="W34" s="82" t="str">
        <f t="shared" si="3"/>
        <v>-</v>
      </c>
      <c r="X34" s="5">
        <v>305</v>
      </c>
      <c r="Y34" s="5">
        <v>254.5</v>
      </c>
      <c r="Z34" s="53">
        <f t="shared" si="5"/>
        <v>0.16557377049180333</v>
      </c>
      <c r="AA34" s="52">
        <v>1.34E-2</v>
      </c>
      <c r="AH34" s="52">
        <v>1.34E-2</v>
      </c>
      <c r="AI34" s="5">
        <v>0.19758888434818142</v>
      </c>
      <c r="AJ34" s="5">
        <v>5.9123416428279532E-4</v>
      </c>
      <c r="AK34" s="6">
        <v>3.6606048222313035E-3</v>
      </c>
      <c r="AL34" s="4">
        <v>0.19758888434818142</v>
      </c>
      <c r="AM34" s="5">
        <v>5.9123416428279532E-4</v>
      </c>
      <c r="AN34" s="6">
        <v>3.6606048222313035E-3</v>
      </c>
    </row>
    <row r="35" spans="2:40" x14ac:dyDescent="0.35">
      <c r="B35" s="19">
        <v>32</v>
      </c>
      <c r="C35" s="33" t="s">
        <v>41</v>
      </c>
      <c r="D35" s="5" t="s">
        <v>27</v>
      </c>
      <c r="E35" s="5"/>
      <c r="F35" s="5">
        <v>348</v>
      </c>
      <c r="G35" s="5">
        <v>8</v>
      </c>
      <c r="H35" s="5">
        <v>60</v>
      </c>
      <c r="I35" s="5">
        <v>2</v>
      </c>
      <c r="J35" s="5">
        <v>5000</v>
      </c>
      <c r="K35" s="5">
        <v>65</v>
      </c>
      <c r="L35" s="5">
        <v>1</v>
      </c>
      <c r="M35" s="5">
        <f>(121+128.5+144+127.5)-(119+125.5+142+125.5)</f>
        <v>9</v>
      </c>
      <c r="N35" s="26">
        <f t="shared" si="32"/>
        <v>4.0909090909090908</v>
      </c>
      <c r="O35" s="27">
        <f t="shared" si="33"/>
        <v>6.8181818181818177E-2</v>
      </c>
      <c r="P35" s="5">
        <v>1</v>
      </c>
      <c r="Q35" s="5" t="s">
        <v>46</v>
      </c>
      <c r="R35" s="5"/>
      <c r="S35" s="5"/>
      <c r="T35" s="5"/>
      <c r="U35" s="82" t="str">
        <f t="shared" si="1"/>
        <v>-</v>
      </c>
      <c r="V35" s="82" t="str">
        <f t="shared" si="2"/>
        <v>-</v>
      </c>
      <c r="W35" s="82" t="str">
        <f t="shared" si="3"/>
        <v>-</v>
      </c>
      <c r="X35" s="5">
        <v>1140.5</v>
      </c>
      <c r="Y35" s="5">
        <v>1050.5</v>
      </c>
      <c r="Z35" s="53">
        <f t="shared" si="5"/>
        <v>7.8912757562472624E-2</v>
      </c>
      <c r="AA35" s="52">
        <v>1.11E-2</v>
      </c>
      <c r="AH35" s="52">
        <v>1.11E-2</v>
      </c>
      <c r="AI35" s="5">
        <v>4.5504682622268471E-2</v>
      </c>
      <c r="AJ35" s="5">
        <v>0</v>
      </c>
      <c r="AK35" s="6">
        <v>1.5494276795005204E-3</v>
      </c>
      <c r="AL35" s="4">
        <v>4.5504682622268471E-2</v>
      </c>
      <c r="AM35" s="5">
        <v>0</v>
      </c>
      <c r="AN35" s="6">
        <v>1.5494276795005204E-3</v>
      </c>
    </row>
    <row r="36" spans="2:40" x14ac:dyDescent="0.35">
      <c r="B36" s="19">
        <v>33</v>
      </c>
      <c r="C36" s="32" t="s">
        <v>42</v>
      </c>
      <c r="D36" s="5" t="s">
        <v>43</v>
      </c>
      <c r="E36" s="5"/>
      <c r="F36" s="5">
        <v>441</v>
      </c>
      <c r="G36" s="5">
        <v>1</v>
      </c>
      <c r="H36" s="5">
        <v>180</v>
      </c>
      <c r="I36" s="5">
        <v>1</v>
      </c>
      <c r="J36" s="5">
        <v>5000</v>
      </c>
      <c r="K36" s="5">
        <v>65</v>
      </c>
      <c r="L36" s="5">
        <v>1</v>
      </c>
      <c r="M36" s="5">
        <f>(154+170.5+143+169.5)-(127.5+142.5+128+154.5)</f>
        <v>84.5</v>
      </c>
      <c r="N36" s="26">
        <f t="shared" ref="N36:N37" si="34">M36/2.2</f>
        <v>38.409090909090907</v>
      </c>
      <c r="O36" s="27">
        <f t="shared" ref="O36:O37" si="35">N36/H36</f>
        <v>0.21338383838383837</v>
      </c>
      <c r="P36" s="5">
        <v>1</v>
      </c>
      <c r="Q36" s="5"/>
      <c r="R36" s="5"/>
      <c r="S36" s="5"/>
      <c r="T36" s="5"/>
      <c r="U36" s="82" t="str">
        <f t="shared" si="1"/>
        <v>-</v>
      </c>
      <c r="V36" s="82" t="str">
        <f t="shared" si="2"/>
        <v>-</v>
      </c>
      <c r="W36" s="82" t="str">
        <f t="shared" si="3"/>
        <v>-</v>
      </c>
      <c r="X36" s="5">
        <v>1305</v>
      </c>
      <c r="Y36" s="5">
        <v>1082.5</v>
      </c>
      <c r="Z36" s="53">
        <f t="shared" si="5"/>
        <v>0.17049808429118773</v>
      </c>
      <c r="AA36" s="52">
        <v>4.3099999999999999E-2</v>
      </c>
      <c r="AH36" s="52">
        <v>4.3099999999999999E-2</v>
      </c>
      <c r="AI36" s="5">
        <v>6.2888686316215948E-3</v>
      </c>
      <c r="AJ36" s="5">
        <v>0.1337992504811101</v>
      </c>
      <c r="AK36" s="6">
        <v>1.2802592930213715E-4</v>
      </c>
      <c r="AL36" s="4">
        <v>6.2888686316215948E-3</v>
      </c>
      <c r="AM36" s="5">
        <v>0.1337992504811101</v>
      </c>
      <c r="AN36" s="6">
        <v>1.2802592930213715E-4</v>
      </c>
    </row>
    <row r="37" spans="2:40" x14ac:dyDescent="0.35">
      <c r="B37" s="19">
        <v>34</v>
      </c>
      <c r="C37" s="32" t="s">
        <v>42</v>
      </c>
      <c r="D37" s="5" t="s">
        <v>43</v>
      </c>
      <c r="E37" s="5"/>
      <c r="F37" s="5">
        <v>441</v>
      </c>
      <c r="G37" s="5">
        <v>2</v>
      </c>
      <c r="H37" s="5">
        <v>180</v>
      </c>
      <c r="I37" s="5">
        <v>2</v>
      </c>
      <c r="J37" s="5">
        <v>5000</v>
      </c>
      <c r="K37" s="5">
        <v>65</v>
      </c>
      <c r="L37" s="5">
        <v>1</v>
      </c>
      <c r="M37" s="5">
        <f>(127.5+142.5+128+154.5)-(121+134.5+124.5+150.5)+(168+177.5)-(160.5+143)</f>
        <v>64</v>
      </c>
      <c r="N37" s="26">
        <f t="shared" si="34"/>
        <v>29.09090909090909</v>
      </c>
      <c r="O37" s="27">
        <f t="shared" si="35"/>
        <v>0.1616161616161616</v>
      </c>
      <c r="P37" s="5">
        <v>1</v>
      </c>
      <c r="Q37" s="5"/>
      <c r="R37" s="5"/>
      <c r="S37" s="5"/>
      <c r="T37" s="5"/>
      <c r="U37" s="82" t="str">
        <f t="shared" si="1"/>
        <v>-</v>
      </c>
      <c r="V37" s="82" t="str">
        <f t="shared" si="2"/>
        <v>-</v>
      </c>
      <c r="W37" s="82" t="str">
        <f t="shared" si="3"/>
        <v>-</v>
      </c>
      <c r="X37" s="5">
        <v>1372</v>
      </c>
      <c r="Y37" s="5">
        <v>1152</v>
      </c>
      <c r="Z37" s="53">
        <f t="shared" si="5"/>
        <v>0.16034985422740522</v>
      </c>
      <c r="AA37" s="52">
        <v>2.69E-2</v>
      </c>
      <c r="AH37" s="52">
        <v>2.69E-2</v>
      </c>
      <c r="AI37" s="5">
        <v>6.2888686316215948E-3</v>
      </c>
      <c r="AJ37" s="5">
        <v>0.1337992504811101</v>
      </c>
      <c r="AK37" s="6">
        <v>1.2802592930213715E-4</v>
      </c>
      <c r="AL37" s="4">
        <v>6.2888686316215948E-3</v>
      </c>
      <c r="AM37" s="5">
        <v>0.1337992504811101</v>
      </c>
      <c r="AN37" s="6">
        <v>1.2802592930213715E-4</v>
      </c>
    </row>
    <row r="38" spans="2:40" x14ac:dyDescent="0.35">
      <c r="B38" s="19">
        <v>35</v>
      </c>
      <c r="C38" s="32" t="s">
        <v>42</v>
      </c>
      <c r="D38" s="5" t="s">
        <v>43</v>
      </c>
      <c r="E38" s="5"/>
      <c r="F38" s="5">
        <v>441</v>
      </c>
      <c r="G38" s="5">
        <v>3</v>
      </c>
      <c r="H38" s="5">
        <v>180</v>
      </c>
      <c r="I38" s="5">
        <v>2</v>
      </c>
      <c r="J38" s="5">
        <v>5000</v>
      </c>
      <c r="K38" s="5">
        <v>65</v>
      </c>
      <c r="L38" s="5">
        <v>1</v>
      </c>
      <c r="M38" s="5">
        <f>(155+183.5+157+146.5)-(122+152.5+148.5+143)</f>
        <v>76</v>
      </c>
      <c r="N38" s="26">
        <f t="shared" ref="N38:N40" si="36">M38/2.2</f>
        <v>34.54545454545454</v>
      </c>
      <c r="O38" s="27">
        <f t="shared" ref="O38:O40" si="37">N38/H38</f>
        <v>0.19191919191919188</v>
      </c>
      <c r="P38" s="5">
        <v>1</v>
      </c>
      <c r="Q38" s="5"/>
      <c r="R38" s="5"/>
      <c r="S38" s="5"/>
      <c r="T38" s="5"/>
      <c r="U38" s="82" t="str">
        <f t="shared" si="1"/>
        <v>-</v>
      </c>
      <c r="V38" s="82" t="str">
        <f t="shared" si="2"/>
        <v>-</v>
      </c>
      <c r="W38" s="82" t="str">
        <f t="shared" si="3"/>
        <v>-</v>
      </c>
      <c r="X38" s="5">
        <v>1329.5</v>
      </c>
      <c r="Y38" s="5">
        <v>1074</v>
      </c>
      <c r="Z38" s="53">
        <f t="shared" si="5"/>
        <v>0.19217751034223396</v>
      </c>
      <c r="AA38" s="52">
        <v>2.5600000000000001E-2</v>
      </c>
      <c r="AH38" s="52">
        <v>2.5600000000000001E-2</v>
      </c>
      <c r="AI38" s="5">
        <v>6.2888686316215948E-3</v>
      </c>
      <c r="AJ38" s="5">
        <v>0.1337992504811101</v>
      </c>
      <c r="AK38" s="6">
        <v>1.2802592930213715E-4</v>
      </c>
      <c r="AL38" s="4">
        <v>6.2888686316215948E-3</v>
      </c>
      <c r="AM38" s="5">
        <v>0.1337992504811101</v>
      </c>
      <c r="AN38" s="6">
        <v>1.2802592930213715E-4</v>
      </c>
    </row>
    <row r="39" spans="2:40" x14ac:dyDescent="0.35">
      <c r="B39" s="19">
        <v>36</v>
      </c>
      <c r="C39" s="33" t="s">
        <v>44</v>
      </c>
      <c r="D39" s="5" t="s">
        <v>43</v>
      </c>
      <c r="E39" s="5"/>
      <c r="F39" s="5">
        <v>441</v>
      </c>
      <c r="G39" s="5">
        <v>4</v>
      </c>
      <c r="H39" s="5"/>
      <c r="I39" s="5"/>
      <c r="J39" s="5"/>
      <c r="K39" s="5"/>
      <c r="L39" s="5"/>
      <c r="M39" s="5"/>
      <c r="N39" s="26"/>
      <c r="O39" s="27"/>
      <c r="P39" s="5">
        <v>1</v>
      </c>
      <c r="Q39" s="5"/>
      <c r="R39" s="5"/>
      <c r="S39" s="5"/>
      <c r="T39" s="5"/>
      <c r="U39" s="82" t="str">
        <f t="shared" si="1"/>
        <v>-</v>
      </c>
      <c r="V39" s="82" t="str">
        <f t="shared" si="2"/>
        <v>-</v>
      </c>
      <c r="W39" s="82" t="str">
        <f t="shared" si="3"/>
        <v>-</v>
      </c>
      <c r="X39" s="5">
        <v>1430</v>
      </c>
      <c r="Y39" s="5">
        <v>1188.5</v>
      </c>
      <c r="Z39" s="53">
        <f t="shared" si="5"/>
        <v>0.1688811188811189</v>
      </c>
      <c r="AA39" s="52">
        <v>2.52E-2</v>
      </c>
      <c r="AH39" s="52">
        <v>2.52E-2</v>
      </c>
      <c r="AI39" s="5">
        <v>6.2888686316215948E-3</v>
      </c>
      <c r="AJ39" s="5">
        <v>0.1337992504811101</v>
      </c>
      <c r="AK39" s="6">
        <v>1.2802592930213715E-4</v>
      </c>
      <c r="AL39" s="4">
        <v>6.2888686316215948E-3</v>
      </c>
      <c r="AM39" s="5">
        <v>0.1337992504811101</v>
      </c>
      <c r="AN39" s="6">
        <v>1.2802592930213715E-4</v>
      </c>
    </row>
    <row r="40" spans="2:40" x14ac:dyDescent="0.35">
      <c r="B40" s="19">
        <v>37</v>
      </c>
      <c r="C40" s="33" t="s">
        <v>44</v>
      </c>
      <c r="D40" s="5" t="s">
        <v>43</v>
      </c>
      <c r="E40" s="5"/>
      <c r="F40" s="5">
        <v>441</v>
      </c>
      <c r="G40" s="5">
        <v>5</v>
      </c>
      <c r="H40" s="5">
        <v>180</v>
      </c>
      <c r="I40" s="5">
        <v>2</v>
      </c>
      <c r="J40" s="5">
        <v>5000</v>
      </c>
      <c r="K40" s="5">
        <v>65</v>
      </c>
      <c r="L40" s="5">
        <v>1</v>
      </c>
      <c r="M40" s="5">
        <f>(155.5+162+170.5+163)-(138+144+143.5+133.5)</f>
        <v>92</v>
      </c>
      <c r="N40" s="26">
        <f t="shared" si="36"/>
        <v>41.818181818181813</v>
      </c>
      <c r="O40" s="27">
        <f t="shared" si="37"/>
        <v>0.23232323232323229</v>
      </c>
      <c r="P40" s="5">
        <v>1</v>
      </c>
      <c r="Q40" s="5"/>
      <c r="R40" s="5"/>
      <c r="S40" s="5"/>
      <c r="T40" s="5"/>
      <c r="U40" s="82" t="str">
        <f t="shared" si="1"/>
        <v>-</v>
      </c>
      <c r="V40" s="82" t="str">
        <f t="shared" si="2"/>
        <v>-</v>
      </c>
      <c r="W40" s="82" t="str">
        <f t="shared" si="3"/>
        <v>-</v>
      </c>
      <c r="X40" s="5">
        <v>1567</v>
      </c>
      <c r="Y40" s="5">
        <v>1295.5</v>
      </c>
      <c r="Z40" s="53">
        <f t="shared" si="5"/>
        <v>0.17326100829610724</v>
      </c>
      <c r="AA40" s="52">
        <v>4.1599999999999998E-2</v>
      </c>
      <c r="AH40" s="52">
        <v>4.1599999999999998E-2</v>
      </c>
      <c r="AI40" s="5">
        <v>6.2888686316215948E-3</v>
      </c>
      <c r="AJ40" s="5">
        <v>0.1337992504811101</v>
      </c>
      <c r="AK40" s="6">
        <v>1.2802592930213715E-4</v>
      </c>
      <c r="AL40" s="4">
        <v>6.2888686316215948E-3</v>
      </c>
      <c r="AM40" s="5">
        <v>0.1337992504811101</v>
      </c>
      <c r="AN40" s="6">
        <v>1.2802592930213715E-4</v>
      </c>
    </row>
    <row r="41" spans="2:40" x14ac:dyDescent="0.35">
      <c r="B41" s="19">
        <v>38</v>
      </c>
      <c r="C41" s="33" t="s">
        <v>44</v>
      </c>
      <c r="D41" s="5" t="s">
        <v>43</v>
      </c>
      <c r="E41" s="5"/>
      <c r="F41" s="5">
        <v>441</v>
      </c>
      <c r="G41" s="5">
        <v>6</v>
      </c>
      <c r="H41" s="5">
        <v>180</v>
      </c>
      <c r="I41" s="5">
        <v>1</v>
      </c>
      <c r="J41" s="5">
        <v>5000</v>
      </c>
      <c r="K41" s="5">
        <v>65</v>
      </c>
      <c r="L41" s="5">
        <v>1</v>
      </c>
      <c r="M41" s="5"/>
      <c r="N41" s="26">
        <f t="shared" ref="N41:N42" si="38">M41/2.2</f>
        <v>0</v>
      </c>
      <c r="O41" s="27">
        <f t="shared" ref="O41:O42" si="39">N41/H41</f>
        <v>0</v>
      </c>
      <c r="P41" s="5">
        <v>1</v>
      </c>
      <c r="Q41" s="5"/>
      <c r="R41" s="5"/>
      <c r="S41" s="5"/>
      <c r="T41" s="5"/>
      <c r="U41" s="82" t="str">
        <f t="shared" si="1"/>
        <v>-</v>
      </c>
      <c r="V41" s="82" t="str">
        <f t="shared" si="2"/>
        <v>-</v>
      </c>
      <c r="W41" s="82" t="str">
        <f t="shared" si="3"/>
        <v>-</v>
      </c>
      <c r="X41" s="5">
        <v>1489</v>
      </c>
      <c r="Y41" s="5">
        <v>1213.5</v>
      </c>
      <c r="Z41" s="53">
        <f t="shared" si="5"/>
        <v>0.18502350570852921</v>
      </c>
      <c r="AA41" s="52">
        <v>3.1899999999999998E-2</v>
      </c>
      <c r="AH41" s="52">
        <v>3.1899999999999998E-2</v>
      </c>
      <c r="AI41" s="5">
        <v>6.2888686316215948E-3</v>
      </c>
      <c r="AJ41" s="5">
        <v>0.1337992504811101</v>
      </c>
      <c r="AK41" s="6">
        <v>1.2802592930213715E-4</v>
      </c>
      <c r="AL41" s="4">
        <v>6.2888686316215948E-3</v>
      </c>
      <c r="AM41" s="5">
        <v>0.1337992504811101</v>
      </c>
      <c r="AN41" s="6">
        <v>1.2802592930213715E-4</v>
      </c>
    </row>
    <row r="42" spans="2:40" x14ac:dyDescent="0.35">
      <c r="B42" s="19">
        <v>39</v>
      </c>
      <c r="C42" s="33" t="s">
        <v>48</v>
      </c>
      <c r="D42" s="19" t="s">
        <v>27</v>
      </c>
      <c r="F42" s="19">
        <v>345</v>
      </c>
      <c r="G42" s="19">
        <v>1</v>
      </c>
      <c r="H42" s="19">
        <v>180</v>
      </c>
      <c r="I42" s="19">
        <v>1</v>
      </c>
      <c r="J42" s="19">
        <v>5000</v>
      </c>
      <c r="K42" s="19">
        <v>65</v>
      </c>
      <c r="L42" s="19">
        <v>1</v>
      </c>
      <c r="M42" s="19">
        <f>(154.5+164+152.5+155.5)-(126.5+134+129+131.5)</f>
        <v>105.5</v>
      </c>
      <c r="N42" s="26">
        <f t="shared" si="38"/>
        <v>47.954545454545453</v>
      </c>
      <c r="O42" s="27">
        <f t="shared" si="39"/>
        <v>0.26641414141414138</v>
      </c>
      <c r="P42" s="19">
        <v>1</v>
      </c>
      <c r="U42" s="82" t="str">
        <f t="shared" si="1"/>
        <v>-</v>
      </c>
      <c r="V42" s="82" t="str">
        <f t="shared" si="2"/>
        <v>-</v>
      </c>
      <c r="W42" s="82" t="str">
        <f t="shared" si="3"/>
        <v>-</v>
      </c>
      <c r="X42" s="19">
        <v>1438</v>
      </c>
      <c r="Y42" s="19">
        <v>1111</v>
      </c>
      <c r="Z42" s="53">
        <f t="shared" si="5"/>
        <v>0.22739916550764949</v>
      </c>
      <c r="AA42" s="52"/>
      <c r="AH42" s="52"/>
      <c r="AI42" s="19">
        <v>0.1965096338141834</v>
      </c>
      <c r="AJ42" s="19">
        <v>5.8650257237970345E-4</v>
      </c>
      <c r="AK42" s="20">
        <v>3.0061535357611218E-3</v>
      </c>
      <c r="AL42" s="18">
        <v>0.1965096338141834</v>
      </c>
      <c r="AM42" s="19">
        <v>5.8650257237970345E-4</v>
      </c>
      <c r="AN42" s="20">
        <v>3.0061535357611218E-3</v>
      </c>
    </row>
    <row r="43" spans="2:40" x14ac:dyDescent="0.35">
      <c r="B43" s="19">
        <v>40</v>
      </c>
      <c r="C43" s="33" t="s">
        <v>48</v>
      </c>
      <c r="D43" s="19" t="s">
        <v>27</v>
      </c>
      <c r="F43" s="19">
        <v>345</v>
      </c>
      <c r="G43" s="19">
        <v>2</v>
      </c>
      <c r="H43" s="19">
        <v>180</v>
      </c>
      <c r="I43" s="19">
        <v>1</v>
      </c>
      <c r="J43" s="19">
        <v>5000</v>
      </c>
      <c r="K43" s="19">
        <v>65</v>
      </c>
      <c r="L43" s="19">
        <v>1</v>
      </c>
      <c r="N43" s="26">
        <f t="shared" ref="N43:N46" si="40">M43/2.2</f>
        <v>0</v>
      </c>
      <c r="O43" s="27">
        <f t="shared" ref="O43:O46" si="41">N43/H43</f>
        <v>0</v>
      </c>
      <c r="P43" s="19">
        <v>1</v>
      </c>
      <c r="U43" s="82" t="str">
        <f t="shared" si="1"/>
        <v>-</v>
      </c>
      <c r="V43" s="82" t="str">
        <f t="shared" si="2"/>
        <v>-</v>
      </c>
      <c r="W43" s="82" t="str">
        <f t="shared" si="3"/>
        <v>-</v>
      </c>
      <c r="X43" s="19">
        <v>1534.5</v>
      </c>
      <c r="Y43" s="19">
        <v>1152.5</v>
      </c>
      <c r="Z43" s="53">
        <f t="shared" si="5"/>
        <v>0.24894102313457156</v>
      </c>
      <c r="AA43" s="52"/>
      <c r="AH43" s="52"/>
      <c r="AI43" s="19">
        <v>0.1965096338141834</v>
      </c>
      <c r="AJ43" s="19">
        <v>5.8650257237970345E-4</v>
      </c>
      <c r="AK43" s="20">
        <v>3.0061535357611218E-3</v>
      </c>
      <c r="AL43" s="18">
        <v>0.1965096338141834</v>
      </c>
      <c r="AM43" s="19">
        <v>5.8650257237970345E-4</v>
      </c>
      <c r="AN43" s="20">
        <v>3.0061535357611218E-3</v>
      </c>
    </row>
    <row r="44" spans="2:40" x14ac:dyDescent="0.35">
      <c r="B44" s="19">
        <v>41</v>
      </c>
      <c r="C44" s="33" t="s">
        <v>48</v>
      </c>
      <c r="D44" s="19" t="s">
        <v>27</v>
      </c>
      <c r="F44" s="19">
        <v>345</v>
      </c>
      <c r="G44" s="19">
        <v>3</v>
      </c>
      <c r="H44" s="19">
        <v>180</v>
      </c>
      <c r="I44" s="19">
        <v>2</v>
      </c>
      <c r="J44" s="19">
        <v>5000</v>
      </c>
      <c r="K44" s="19">
        <v>65</v>
      </c>
      <c r="L44" s="19">
        <v>1</v>
      </c>
      <c r="N44" s="26">
        <f t="shared" ref="N44" si="42">M44/2.2</f>
        <v>0</v>
      </c>
      <c r="O44" s="27">
        <f t="shared" ref="O44" si="43">N44/H44</f>
        <v>0</v>
      </c>
      <c r="P44" s="19">
        <v>1</v>
      </c>
      <c r="U44" s="82" t="str">
        <f t="shared" si="1"/>
        <v>-</v>
      </c>
      <c r="V44" s="82" t="str">
        <f t="shared" si="2"/>
        <v>-</v>
      </c>
      <c r="W44" s="82" t="str">
        <f t="shared" si="3"/>
        <v>-</v>
      </c>
      <c r="X44" s="19">
        <v>1501.5</v>
      </c>
      <c r="Z44" s="53" t="str">
        <f t="shared" si="5"/>
        <v>-</v>
      </c>
      <c r="AA44" s="52"/>
      <c r="AH44" s="52"/>
    </row>
    <row r="45" spans="2:40" x14ac:dyDescent="0.35">
      <c r="B45" s="19">
        <v>42</v>
      </c>
      <c r="C45" s="33" t="s">
        <v>49</v>
      </c>
      <c r="D45" s="19" t="s">
        <v>27</v>
      </c>
      <c r="F45" s="19">
        <v>345</v>
      </c>
      <c r="G45" s="19">
        <v>4</v>
      </c>
      <c r="H45" s="19">
        <v>180</v>
      </c>
      <c r="I45" s="19">
        <v>2</v>
      </c>
      <c r="J45" s="19">
        <v>5000</v>
      </c>
      <c r="K45" s="19">
        <v>65</v>
      </c>
      <c r="L45" s="19">
        <v>1</v>
      </c>
      <c r="M45" s="19">
        <f>(155.5+182.5+147.5+159.5)-(128.5+121+156.5+132)</f>
        <v>107</v>
      </c>
      <c r="N45" s="26">
        <f>M45/2.2</f>
        <v>48.636363636363633</v>
      </c>
      <c r="O45" s="27">
        <f>N45/H45</f>
        <v>0.27020202020202017</v>
      </c>
      <c r="P45" s="19">
        <v>1</v>
      </c>
      <c r="U45" s="82" t="str">
        <f t="shared" si="1"/>
        <v>-</v>
      </c>
      <c r="V45" s="82" t="str">
        <f t="shared" si="2"/>
        <v>-</v>
      </c>
      <c r="W45" s="82" t="str">
        <f t="shared" si="3"/>
        <v>-</v>
      </c>
      <c r="X45" s="19">
        <v>1539</v>
      </c>
      <c r="Z45" s="53" t="str">
        <f t="shared" si="5"/>
        <v>-</v>
      </c>
      <c r="AA45" s="52"/>
      <c r="AH45" s="52"/>
    </row>
    <row r="46" spans="2:40" x14ac:dyDescent="0.35">
      <c r="B46" s="19">
        <v>43</v>
      </c>
      <c r="C46" s="33" t="s">
        <v>49</v>
      </c>
      <c r="D46" s="19" t="s">
        <v>27</v>
      </c>
      <c r="F46" s="19">
        <v>345</v>
      </c>
      <c r="G46" s="19">
        <v>5</v>
      </c>
      <c r="H46" s="19">
        <v>180</v>
      </c>
      <c r="I46" s="19">
        <v>1</v>
      </c>
      <c r="J46" s="19">
        <v>5000</v>
      </c>
      <c r="K46" s="19">
        <v>65</v>
      </c>
      <c r="L46" s="19">
        <v>1</v>
      </c>
      <c r="M46" s="19">
        <f>(156.5+132+150.5+156+144.5+147)-(129.5+153.5+121.5+124+125.5+132)</f>
        <v>100.5</v>
      </c>
      <c r="N46" s="26">
        <f t="shared" si="40"/>
        <v>45.68181818181818</v>
      </c>
      <c r="O46" s="27">
        <f t="shared" si="41"/>
        <v>0.25378787878787878</v>
      </c>
      <c r="P46" s="19">
        <v>1</v>
      </c>
      <c r="U46" s="82" t="str">
        <f t="shared" si="1"/>
        <v>-</v>
      </c>
      <c r="V46" s="82" t="str">
        <f t="shared" si="2"/>
        <v>-</v>
      </c>
      <c r="W46" s="82" t="str">
        <f t="shared" si="3"/>
        <v>-</v>
      </c>
      <c r="Z46" s="53" t="str">
        <f t="shared" si="5"/>
        <v>-</v>
      </c>
      <c r="AA46" s="52"/>
      <c r="AH46" s="52"/>
    </row>
    <row r="47" spans="2:40" x14ac:dyDescent="0.35">
      <c r="B47" s="19">
        <v>44</v>
      </c>
      <c r="C47" s="33" t="s">
        <v>49</v>
      </c>
      <c r="D47" s="19" t="s">
        <v>27</v>
      </c>
      <c r="F47" s="19">
        <v>345</v>
      </c>
      <c r="G47" s="19">
        <v>6</v>
      </c>
      <c r="H47" s="19">
        <v>180</v>
      </c>
      <c r="I47" s="19">
        <v>2</v>
      </c>
      <c r="J47" s="19">
        <v>5000</v>
      </c>
      <c r="K47" s="19">
        <v>65</v>
      </c>
      <c r="L47" s="19">
        <v>1</v>
      </c>
      <c r="M47" s="19">
        <f>(145.5+151.5+160.5+152.5)-(118.5+124.5+132.5+126)</f>
        <v>108.5</v>
      </c>
      <c r="N47" s="26">
        <f t="shared" ref="N47" si="44">M47/2.2</f>
        <v>49.318181818181813</v>
      </c>
      <c r="O47" s="27">
        <f t="shared" ref="O47" si="45">N47/H47</f>
        <v>0.27398989898989895</v>
      </c>
      <c r="P47" s="19">
        <v>1</v>
      </c>
      <c r="U47" s="82" t="str">
        <f t="shared" si="1"/>
        <v>-</v>
      </c>
      <c r="V47" s="82" t="str">
        <f t="shared" si="2"/>
        <v>-</v>
      </c>
      <c r="W47" s="82" t="str">
        <f t="shared" si="3"/>
        <v>-</v>
      </c>
      <c r="Z47" s="53" t="str">
        <f t="shared" si="5"/>
        <v>-</v>
      </c>
      <c r="AA47" s="52"/>
      <c r="AH47" s="52"/>
    </row>
    <row r="48" spans="2:40" x14ac:dyDescent="0.35">
      <c r="B48" s="19">
        <v>45</v>
      </c>
      <c r="C48" s="33" t="s">
        <v>50</v>
      </c>
      <c r="D48" s="19" t="s">
        <v>43</v>
      </c>
      <c r="F48" s="19">
        <v>442</v>
      </c>
      <c r="G48" s="19">
        <v>1</v>
      </c>
      <c r="H48" s="19">
        <v>120</v>
      </c>
      <c r="I48" s="19">
        <v>1</v>
      </c>
      <c r="J48" s="19">
        <v>5000</v>
      </c>
      <c r="K48" s="19">
        <v>65</v>
      </c>
      <c r="L48" s="19">
        <v>1</v>
      </c>
      <c r="M48" s="19">
        <f>(162.5+163.5+156+180)-(142.5+142.5+137+161)</f>
        <v>79</v>
      </c>
      <c r="N48" s="26">
        <f t="shared" ref="N48" si="46">M48/2.2</f>
        <v>35.909090909090907</v>
      </c>
      <c r="O48" s="27">
        <f t="shared" ref="O48" si="47">N48/H48</f>
        <v>0.2992424242424242</v>
      </c>
      <c r="P48" s="19">
        <v>1</v>
      </c>
      <c r="U48" s="82" t="str">
        <f t="shared" si="1"/>
        <v>-</v>
      </c>
      <c r="V48" s="82" t="str">
        <f t="shared" si="2"/>
        <v>-</v>
      </c>
      <c r="W48" s="82" t="str">
        <f t="shared" si="3"/>
        <v>-</v>
      </c>
      <c r="Z48" s="53" t="str">
        <f t="shared" si="5"/>
        <v>-</v>
      </c>
    </row>
    <row r="49" spans="2:26" x14ac:dyDescent="0.35">
      <c r="B49" s="19">
        <v>46</v>
      </c>
      <c r="C49" s="33" t="s">
        <v>50</v>
      </c>
      <c r="D49" s="19" t="s">
        <v>43</v>
      </c>
      <c r="F49" s="19">
        <v>442</v>
      </c>
      <c r="G49" s="19">
        <v>2</v>
      </c>
      <c r="H49" s="19">
        <v>120</v>
      </c>
      <c r="I49" s="19">
        <v>2</v>
      </c>
      <c r="J49" s="19">
        <v>5000</v>
      </c>
      <c r="K49" s="19">
        <v>65</v>
      </c>
      <c r="L49" s="19">
        <v>1</v>
      </c>
      <c r="M49" s="19">
        <f>(142.5+142.5+137+161+169+172+153.5+167.5)-(125+125+134+133.5+132.5+168.5+167+171.5)</f>
        <v>88</v>
      </c>
      <c r="N49" s="26">
        <f t="shared" ref="N49" si="48">M49/2.2</f>
        <v>40</v>
      </c>
      <c r="O49" s="27">
        <f t="shared" ref="O49" si="49">N49/H49</f>
        <v>0.33333333333333331</v>
      </c>
      <c r="P49" s="19">
        <v>1</v>
      </c>
      <c r="U49" s="82" t="str">
        <f t="shared" si="1"/>
        <v>-</v>
      </c>
      <c r="V49" s="82" t="str">
        <f t="shared" si="2"/>
        <v>-</v>
      </c>
      <c r="W49" s="82" t="str">
        <f t="shared" si="3"/>
        <v>-</v>
      </c>
      <c r="Z49" s="53" t="str">
        <f t="shared" si="5"/>
        <v>-</v>
      </c>
    </row>
    <row r="50" spans="2:26" x14ac:dyDescent="0.35">
      <c r="B50" s="19">
        <v>47</v>
      </c>
      <c r="C50" s="33" t="s">
        <v>51</v>
      </c>
      <c r="D50" s="19" t="s">
        <v>43</v>
      </c>
      <c r="F50" s="19">
        <v>442</v>
      </c>
      <c r="G50" s="19">
        <v>5</v>
      </c>
      <c r="H50" s="19">
        <v>120</v>
      </c>
      <c r="I50" s="19">
        <v>1</v>
      </c>
      <c r="J50" s="19">
        <v>5000</v>
      </c>
      <c r="K50" s="19">
        <v>65</v>
      </c>
      <c r="L50" s="19">
        <v>1</v>
      </c>
      <c r="M50" s="19">
        <f>(160.5+160.5+168.5+181.5)-(145+144+152.5+165)</f>
        <v>64.5</v>
      </c>
      <c r="N50" s="26">
        <f t="shared" ref="N50" si="50">M50/2.2</f>
        <v>29.318181818181817</v>
      </c>
      <c r="O50" s="27">
        <f t="shared" ref="O50" si="51">N50/H50</f>
        <v>0.2443181818181818</v>
      </c>
      <c r="P50" s="19">
        <v>1</v>
      </c>
      <c r="U50" s="82" t="str">
        <f t="shared" si="1"/>
        <v>-</v>
      </c>
      <c r="V50" s="82" t="str">
        <f t="shared" si="2"/>
        <v>-</v>
      </c>
      <c r="W50" s="82" t="str">
        <f t="shared" si="3"/>
        <v>-</v>
      </c>
      <c r="Z50" s="53" t="str">
        <f t="shared" si="5"/>
        <v>-</v>
      </c>
    </row>
    <row r="51" spans="2:26" x14ac:dyDescent="0.35">
      <c r="B51" s="19">
        <v>48</v>
      </c>
      <c r="C51" s="33" t="s">
        <v>51</v>
      </c>
      <c r="D51" s="19" t="s">
        <v>43</v>
      </c>
      <c r="F51" s="19">
        <v>442</v>
      </c>
      <c r="G51" s="19">
        <v>6</v>
      </c>
      <c r="H51" s="19">
        <v>120</v>
      </c>
      <c r="I51" s="19">
        <v>2</v>
      </c>
      <c r="J51" s="19">
        <v>5000</v>
      </c>
      <c r="K51" s="19">
        <v>65</v>
      </c>
      <c r="L51" s="19">
        <v>1</v>
      </c>
      <c r="M51" s="19">
        <f>(145+144+152.5+165+177+186.5+171.5+158)-(145.5+158+135.5+135+170+146+176.5+174.5)</f>
        <v>58.5</v>
      </c>
      <c r="N51" s="26">
        <f t="shared" ref="N51" si="52">M51/2.2</f>
        <v>26.59090909090909</v>
      </c>
      <c r="O51" s="27">
        <f t="shared" ref="O51" si="53">N51/H51</f>
        <v>0.22159090909090909</v>
      </c>
      <c r="P51" s="19">
        <v>1</v>
      </c>
      <c r="U51" s="82" t="str">
        <f t="shared" si="1"/>
        <v>-</v>
      </c>
      <c r="V51" s="82" t="str">
        <f t="shared" si="2"/>
        <v>-</v>
      </c>
      <c r="W51" s="82" t="str">
        <f t="shared" si="3"/>
        <v>-</v>
      </c>
      <c r="Z51" s="53" t="str">
        <f t="shared" si="5"/>
        <v>-</v>
      </c>
    </row>
    <row r="52" spans="2:26" x14ac:dyDescent="0.35">
      <c r="B52" s="19">
        <v>49</v>
      </c>
      <c r="C52" s="33" t="s">
        <v>52</v>
      </c>
      <c r="D52" s="19" t="s">
        <v>53</v>
      </c>
      <c r="F52" s="19">
        <v>614</v>
      </c>
      <c r="G52" s="19">
        <v>1</v>
      </c>
      <c r="H52" s="19">
        <v>150</v>
      </c>
      <c r="I52" s="19">
        <v>1</v>
      </c>
      <c r="J52" s="19">
        <v>5000</v>
      </c>
      <c r="K52" s="19">
        <v>65</v>
      </c>
      <c r="L52" s="19">
        <v>1</v>
      </c>
      <c r="M52" s="19">
        <f>(168+134.5+175.5+160.5+183+174)-(156.5+169+162.5+128+169+160.5)</f>
        <v>50</v>
      </c>
      <c r="N52" s="26">
        <f t="shared" ref="N52" si="54">M52/2.2</f>
        <v>22.727272727272727</v>
      </c>
      <c r="O52" s="27">
        <f t="shared" ref="O52" si="55">N52/H52</f>
        <v>0.15151515151515152</v>
      </c>
      <c r="P52" s="19">
        <v>1</v>
      </c>
      <c r="U52" s="82" t="str">
        <f t="shared" si="1"/>
        <v>-</v>
      </c>
      <c r="V52" s="82" t="str">
        <f t="shared" si="2"/>
        <v>-</v>
      </c>
      <c r="W52" s="82" t="str">
        <f t="shared" si="3"/>
        <v>-</v>
      </c>
      <c r="Z52" s="53" t="str">
        <f t="shared" si="5"/>
        <v>-</v>
      </c>
    </row>
    <row r="53" spans="2:26" x14ac:dyDescent="0.35">
      <c r="B53" s="19">
        <v>50</v>
      </c>
      <c r="C53" s="33" t="s">
        <v>55</v>
      </c>
      <c r="D53" s="19" t="s">
        <v>53</v>
      </c>
      <c r="F53" s="19">
        <v>614</v>
      </c>
      <c r="G53" s="19">
        <v>5</v>
      </c>
      <c r="H53" s="19">
        <v>60</v>
      </c>
      <c r="I53" s="19">
        <v>1</v>
      </c>
      <c r="J53" s="19">
        <v>5000</v>
      </c>
      <c r="K53" s="19">
        <v>65</v>
      </c>
      <c r="L53" s="19">
        <v>1</v>
      </c>
      <c r="M53" s="19">
        <f>(170.5+120.5+168.5+169.5)-(170+107+155.5+157)</f>
        <v>39.5</v>
      </c>
      <c r="N53" s="26">
        <f t="shared" ref="N53" si="56">M53/2.2</f>
        <v>17.954545454545453</v>
      </c>
      <c r="O53" s="27">
        <f t="shared" ref="O53" si="57">N53/H53</f>
        <v>0.2992424242424242</v>
      </c>
      <c r="P53" s="19">
        <v>1</v>
      </c>
      <c r="Q53" s="19" t="s">
        <v>54</v>
      </c>
      <c r="U53" s="82" t="str">
        <f t="shared" si="1"/>
        <v>-</v>
      </c>
      <c r="V53" s="82" t="str">
        <f t="shared" si="2"/>
        <v>-</v>
      </c>
      <c r="W53" s="82" t="str">
        <f t="shared" si="3"/>
        <v>-</v>
      </c>
      <c r="Z53" s="53" t="str">
        <f t="shared" si="5"/>
        <v>-</v>
      </c>
    </row>
    <row r="54" spans="2:26" x14ac:dyDescent="0.35">
      <c r="B54" s="19">
        <v>51</v>
      </c>
      <c r="C54" s="32" t="s">
        <v>57</v>
      </c>
      <c r="D54" s="19" t="s">
        <v>56</v>
      </c>
      <c r="F54" s="19">
        <v>626</v>
      </c>
      <c r="G54" s="19">
        <v>3</v>
      </c>
      <c r="H54" s="19">
        <v>120</v>
      </c>
      <c r="I54" s="19">
        <v>1</v>
      </c>
      <c r="J54" s="19">
        <v>5000</v>
      </c>
      <c r="K54" s="19">
        <v>65</v>
      </c>
      <c r="L54" s="19">
        <v>1</v>
      </c>
      <c r="M54" s="19">
        <f>(141.5+172+140.5+148)-(143.5+136+156.5+124)</f>
        <v>42</v>
      </c>
      <c r="N54" s="26">
        <f t="shared" ref="N54" si="58">M54/2.2</f>
        <v>19.09090909090909</v>
      </c>
      <c r="O54" s="27">
        <f t="shared" ref="O54" si="59">N54/H54</f>
        <v>0.15909090909090909</v>
      </c>
      <c r="P54" s="19">
        <v>1</v>
      </c>
      <c r="U54" s="82" t="str">
        <f t="shared" si="1"/>
        <v>-</v>
      </c>
      <c r="V54" s="82" t="str">
        <f t="shared" si="2"/>
        <v>-</v>
      </c>
      <c r="W54" s="82" t="str">
        <f t="shared" si="3"/>
        <v>-</v>
      </c>
      <c r="Z54" s="53" t="str">
        <f t="shared" si="5"/>
        <v>-</v>
      </c>
    </row>
    <row r="55" spans="2:26" x14ac:dyDescent="0.35">
      <c r="B55" s="19">
        <v>52</v>
      </c>
      <c r="C55" s="33" t="s">
        <v>58</v>
      </c>
      <c r="D55" s="19" t="s">
        <v>56</v>
      </c>
      <c r="F55" s="19">
        <v>626</v>
      </c>
      <c r="G55" s="19">
        <v>6</v>
      </c>
      <c r="H55" s="19">
        <v>90</v>
      </c>
      <c r="I55" s="19">
        <v>1</v>
      </c>
      <c r="J55" s="19">
        <v>5000</v>
      </c>
      <c r="K55" s="19">
        <v>65</v>
      </c>
      <c r="L55" s="19">
        <v>1</v>
      </c>
      <c r="M55" s="19">
        <f>(130+126+158.5+131)-(127.5+123+154.5+129.5)+(179+167)-(148+158.5)</f>
        <v>50.5</v>
      </c>
      <c r="N55" s="26">
        <f t="shared" ref="N55:N56" si="60">M55/2.2</f>
        <v>22.954545454545453</v>
      </c>
      <c r="O55" s="27">
        <f t="shared" ref="O55:O56" si="61">N55/H55</f>
        <v>0.25505050505050503</v>
      </c>
      <c r="P55" s="19">
        <v>1</v>
      </c>
      <c r="U55" s="82" t="str">
        <f t="shared" si="1"/>
        <v>-</v>
      </c>
      <c r="V55" s="82" t="str">
        <f t="shared" si="2"/>
        <v>-</v>
      </c>
      <c r="W55" s="82" t="str">
        <f t="shared" si="3"/>
        <v>-</v>
      </c>
      <c r="Z55" s="53" t="str">
        <f t="shared" si="5"/>
        <v>-</v>
      </c>
    </row>
    <row r="56" spans="2:26" x14ac:dyDescent="0.35">
      <c r="B56" s="19">
        <v>53</v>
      </c>
      <c r="C56" s="33" t="s">
        <v>59</v>
      </c>
      <c r="D56" s="19" t="s">
        <v>60</v>
      </c>
      <c r="F56" s="19">
        <v>640</v>
      </c>
      <c r="G56" s="19">
        <v>3</v>
      </c>
      <c r="H56" s="19">
        <v>105</v>
      </c>
      <c r="I56" s="19">
        <v>1</v>
      </c>
      <c r="J56" s="19">
        <v>5000</v>
      </c>
      <c r="K56" s="19">
        <v>65</v>
      </c>
      <c r="L56" s="19">
        <v>1</v>
      </c>
      <c r="M56" s="19">
        <f>(124.5+136+133.5+139)-(0)</f>
        <v>533</v>
      </c>
      <c r="N56" s="26">
        <f t="shared" si="60"/>
        <v>242.27272727272725</v>
      </c>
      <c r="O56" s="27">
        <f t="shared" si="61"/>
        <v>2.3073593073593073</v>
      </c>
      <c r="P56" s="19">
        <v>1</v>
      </c>
      <c r="U56" s="82" t="str">
        <f t="shared" si="1"/>
        <v>-</v>
      </c>
      <c r="V56" s="82" t="str">
        <f t="shared" si="2"/>
        <v>-</v>
      </c>
      <c r="W56" s="82" t="str">
        <f t="shared" si="3"/>
        <v>-</v>
      </c>
      <c r="Z56" s="53" t="str">
        <f t="shared" si="5"/>
        <v>-</v>
      </c>
    </row>
    <row r="57" spans="2:26" x14ac:dyDescent="0.35">
      <c r="B57" s="19">
        <v>54</v>
      </c>
      <c r="C57" s="33" t="s">
        <v>59</v>
      </c>
      <c r="D57" s="19" t="s">
        <v>60</v>
      </c>
      <c r="F57" s="19">
        <v>640</v>
      </c>
      <c r="G57" s="19">
        <v>4</v>
      </c>
      <c r="H57" s="19">
        <v>105</v>
      </c>
      <c r="I57" s="19">
        <v>2</v>
      </c>
      <c r="J57" s="19">
        <v>5000</v>
      </c>
      <c r="K57" s="19">
        <v>65</v>
      </c>
      <c r="L57" s="19">
        <v>1</v>
      </c>
      <c r="M57" s="19">
        <f>(175+169)-(142.5+135.5)+(165+168.5)-(164.5+147)</f>
        <v>88</v>
      </c>
      <c r="N57" s="26">
        <f t="shared" ref="N57" si="62">M57/2.2</f>
        <v>40</v>
      </c>
      <c r="O57" s="27">
        <f t="shared" ref="O57" si="63">N57/H57</f>
        <v>0.38095238095238093</v>
      </c>
      <c r="P57" s="19">
        <v>1</v>
      </c>
      <c r="U57" s="82" t="str">
        <f t="shared" si="1"/>
        <v>-</v>
      </c>
      <c r="V57" s="82" t="str">
        <f t="shared" si="2"/>
        <v>-</v>
      </c>
      <c r="W57" s="82" t="str">
        <f t="shared" si="3"/>
        <v>-</v>
      </c>
      <c r="Z57" s="53" t="str">
        <f t="shared" si="5"/>
        <v>-</v>
      </c>
    </row>
    <row r="58" spans="2:26" x14ac:dyDescent="0.35">
      <c r="B58" s="19">
        <v>55</v>
      </c>
      <c r="C58" s="33" t="s">
        <v>59</v>
      </c>
      <c r="D58" s="19" t="s">
        <v>60</v>
      </c>
      <c r="F58" s="19">
        <v>640</v>
      </c>
      <c r="G58" s="19">
        <v>5</v>
      </c>
      <c r="H58" s="19">
        <v>105</v>
      </c>
      <c r="I58" s="19">
        <v>1</v>
      </c>
      <c r="J58" s="19">
        <v>5000</v>
      </c>
      <c r="K58" s="19">
        <v>65</v>
      </c>
      <c r="L58" s="19">
        <v>1</v>
      </c>
      <c r="M58" s="19">
        <f>(165+147)-(157+133)</f>
        <v>22</v>
      </c>
      <c r="N58" s="26">
        <f t="shared" ref="N58:N59" si="64">M58/2.2</f>
        <v>10</v>
      </c>
      <c r="O58" s="27">
        <f t="shared" ref="O58:O59" si="65">N58/H58</f>
        <v>9.5238095238095233E-2</v>
      </c>
      <c r="P58" s="19">
        <v>1</v>
      </c>
      <c r="U58" s="82" t="str">
        <f t="shared" si="1"/>
        <v>-</v>
      </c>
      <c r="V58" s="82" t="str">
        <f t="shared" si="2"/>
        <v>-</v>
      </c>
      <c r="W58" s="82" t="str">
        <f t="shared" si="3"/>
        <v>-</v>
      </c>
      <c r="Z58" s="53" t="str">
        <f t="shared" si="5"/>
        <v>-</v>
      </c>
    </row>
    <row r="59" spans="2:26" x14ac:dyDescent="0.35">
      <c r="B59" s="19">
        <v>56</v>
      </c>
      <c r="C59" s="33" t="s">
        <v>61</v>
      </c>
      <c r="D59" s="19" t="s">
        <v>9</v>
      </c>
      <c r="F59" s="19">
        <v>631</v>
      </c>
      <c r="G59" s="19">
        <v>1</v>
      </c>
      <c r="H59" s="19">
        <v>90</v>
      </c>
      <c r="I59" s="19">
        <v>1</v>
      </c>
      <c r="J59" s="19">
        <v>5000</v>
      </c>
      <c r="K59" s="19">
        <v>65</v>
      </c>
      <c r="L59" s="19">
        <v>1</v>
      </c>
      <c r="M59" s="19">
        <f>(178+171.5)-(148.5+140)</f>
        <v>61</v>
      </c>
      <c r="N59" s="26">
        <f t="shared" si="64"/>
        <v>27.727272727272727</v>
      </c>
      <c r="O59" s="27">
        <f t="shared" si="65"/>
        <v>0.30808080808080807</v>
      </c>
      <c r="P59" s="19">
        <v>1</v>
      </c>
      <c r="U59" s="82" t="str">
        <f t="shared" si="1"/>
        <v>-</v>
      </c>
      <c r="V59" s="82" t="str">
        <f t="shared" si="2"/>
        <v>-</v>
      </c>
      <c r="W59" s="82" t="str">
        <f t="shared" si="3"/>
        <v>-</v>
      </c>
      <c r="Z59" s="53" t="str">
        <f t="shared" si="5"/>
        <v>-</v>
      </c>
    </row>
    <row r="60" spans="2:26" x14ac:dyDescent="0.35">
      <c r="B60" s="19">
        <v>57</v>
      </c>
      <c r="C60" s="33" t="s">
        <v>61</v>
      </c>
      <c r="D60" s="19" t="s">
        <v>9</v>
      </c>
      <c r="F60" s="19">
        <v>631</v>
      </c>
      <c r="G60" s="19">
        <v>2</v>
      </c>
      <c r="H60" s="19">
        <v>90</v>
      </c>
      <c r="I60" s="19">
        <v>2</v>
      </c>
      <c r="J60" s="19">
        <v>5000</v>
      </c>
      <c r="K60" s="19">
        <v>65</v>
      </c>
      <c r="L60" s="19">
        <v>1</v>
      </c>
      <c r="M60" s="19">
        <f>(151+158+148.5+140)-(125.5+132+145.5+138.5)</f>
        <v>56</v>
      </c>
      <c r="N60" s="26">
        <f t="shared" ref="N60" si="66">M60/2.2</f>
        <v>25.454545454545453</v>
      </c>
      <c r="O60" s="27">
        <f t="shared" ref="O60" si="67">N60/H60</f>
        <v>0.28282828282828282</v>
      </c>
      <c r="P60" s="19">
        <v>1</v>
      </c>
      <c r="U60" s="82" t="str">
        <f t="shared" si="1"/>
        <v>-</v>
      </c>
      <c r="V60" s="82" t="str">
        <f t="shared" si="2"/>
        <v>-</v>
      </c>
      <c r="W60" s="82" t="str">
        <f t="shared" si="3"/>
        <v>-</v>
      </c>
      <c r="Z60" s="53" t="str">
        <f t="shared" si="5"/>
        <v>-</v>
      </c>
    </row>
    <row r="61" spans="2:26" x14ac:dyDescent="0.35">
      <c r="B61" s="19">
        <v>58</v>
      </c>
      <c r="C61" s="33" t="s">
        <v>62</v>
      </c>
      <c r="D61" s="19" t="s">
        <v>63</v>
      </c>
      <c r="F61" s="19">
        <v>630</v>
      </c>
      <c r="G61" s="19">
        <v>1</v>
      </c>
      <c r="H61" s="19">
        <v>90</v>
      </c>
      <c r="I61" s="19">
        <v>1</v>
      </c>
      <c r="J61" s="19">
        <v>5000</v>
      </c>
      <c r="K61" s="19">
        <v>65</v>
      </c>
      <c r="L61" s="19">
        <v>1</v>
      </c>
      <c r="M61" s="19">
        <f>(174+177)-(150+163.5)+(162.5+180.5)-(152.5+170)</f>
        <v>58</v>
      </c>
      <c r="N61" s="26">
        <f t="shared" ref="N61:N62" si="68">M61/2.2</f>
        <v>26.36363636363636</v>
      </c>
      <c r="O61" s="27">
        <f t="shared" ref="O61:O62" si="69">N61/H61</f>
        <v>0.29292929292929287</v>
      </c>
      <c r="P61" s="19">
        <v>1</v>
      </c>
      <c r="U61" s="82" t="str">
        <f t="shared" si="1"/>
        <v>-</v>
      </c>
      <c r="V61" s="82" t="str">
        <f t="shared" si="2"/>
        <v>-</v>
      </c>
      <c r="W61" s="82" t="str">
        <f t="shared" si="3"/>
        <v>-</v>
      </c>
      <c r="Z61" s="53" t="str">
        <f t="shared" si="5"/>
        <v>-</v>
      </c>
    </row>
    <row r="62" spans="2:26" x14ac:dyDescent="0.35">
      <c r="B62" s="19">
        <v>59</v>
      </c>
      <c r="C62" s="33" t="s">
        <v>62</v>
      </c>
      <c r="D62" s="19" t="s">
        <v>63</v>
      </c>
      <c r="F62" s="19">
        <v>630</v>
      </c>
      <c r="G62" s="19">
        <v>2</v>
      </c>
      <c r="H62" s="19">
        <v>90</v>
      </c>
      <c r="I62" s="19">
        <v>2</v>
      </c>
      <c r="J62" s="19">
        <v>5000</v>
      </c>
      <c r="K62" s="19">
        <v>65</v>
      </c>
      <c r="L62" s="19">
        <v>1</v>
      </c>
      <c r="M62" s="19">
        <f>(152.5+170+162+163)-(133+149+150+162)</f>
        <v>53.5</v>
      </c>
      <c r="N62" s="26">
        <f t="shared" si="68"/>
        <v>24.318181818181817</v>
      </c>
      <c r="O62" s="27">
        <f t="shared" si="69"/>
        <v>0.27020202020202017</v>
      </c>
      <c r="P62" s="19">
        <v>1</v>
      </c>
      <c r="U62" s="82" t="str">
        <f t="shared" si="1"/>
        <v>-</v>
      </c>
      <c r="V62" s="82" t="str">
        <f t="shared" si="2"/>
        <v>-</v>
      </c>
      <c r="W62" s="82" t="str">
        <f t="shared" si="3"/>
        <v>-</v>
      </c>
      <c r="Z62" s="53" t="str">
        <f t="shared" si="5"/>
        <v>-</v>
      </c>
    </row>
    <row r="63" spans="2:26" x14ac:dyDescent="0.35">
      <c r="B63" s="19">
        <v>60</v>
      </c>
      <c r="C63" s="33" t="s">
        <v>64</v>
      </c>
      <c r="D63" s="19" t="s">
        <v>63</v>
      </c>
      <c r="F63" s="19">
        <v>630</v>
      </c>
      <c r="G63" s="19">
        <v>5</v>
      </c>
      <c r="H63" s="19">
        <v>90</v>
      </c>
      <c r="I63" s="19">
        <v>1</v>
      </c>
      <c r="J63" s="19">
        <v>5000</v>
      </c>
      <c r="K63" s="19">
        <v>65</v>
      </c>
      <c r="L63" s="19">
        <v>1</v>
      </c>
      <c r="M63" s="19">
        <f>(145+137.5+162.5+152)-(140.5+129.5+150+144)</f>
        <v>33</v>
      </c>
      <c r="N63" s="26">
        <f t="shared" ref="N63" si="70">M63/2.2</f>
        <v>14.999999999999998</v>
      </c>
      <c r="O63" s="27">
        <f t="shared" ref="O63" si="71">N63/H63</f>
        <v>0.16666666666666666</v>
      </c>
      <c r="P63" s="19">
        <v>1</v>
      </c>
      <c r="U63" s="82" t="str">
        <f t="shared" si="1"/>
        <v>-</v>
      </c>
      <c r="V63" s="82" t="str">
        <f t="shared" si="2"/>
        <v>-</v>
      </c>
      <c r="W63" s="82" t="str">
        <f t="shared" si="3"/>
        <v>-</v>
      </c>
      <c r="Z63" s="53" t="str">
        <f t="shared" si="5"/>
        <v>-</v>
      </c>
    </row>
    <row r="64" spans="2:26" x14ac:dyDescent="0.35">
      <c r="B64" s="19">
        <v>61</v>
      </c>
      <c r="C64" s="33" t="s">
        <v>64</v>
      </c>
      <c r="D64" s="19" t="s">
        <v>63</v>
      </c>
      <c r="F64" s="19">
        <v>630</v>
      </c>
      <c r="G64" s="19">
        <v>6</v>
      </c>
      <c r="H64" s="19">
        <v>90</v>
      </c>
      <c r="I64" s="19">
        <v>2</v>
      </c>
      <c r="J64" s="19">
        <v>5000</v>
      </c>
      <c r="K64" s="19">
        <v>65</v>
      </c>
      <c r="L64" s="19">
        <v>1</v>
      </c>
      <c r="M64" s="19">
        <f>(171.5+164+149.5+143.5)-(145.5+136.5+149.5+143.5)</f>
        <v>53.5</v>
      </c>
      <c r="N64" s="26">
        <f t="shared" ref="N64" si="72">M64/2.2</f>
        <v>24.318181818181817</v>
      </c>
      <c r="O64" s="27">
        <f t="shared" ref="O64" si="73">N64/H64</f>
        <v>0.27020202020202017</v>
      </c>
      <c r="P64" s="19">
        <v>1</v>
      </c>
      <c r="U64" s="82" t="str">
        <f t="shared" si="1"/>
        <v>-</v>
      </c>
      <c r="V64" s="82" t="str">
        <f t="shared" si="2"/>
        <v>-</v>
      </c>
      <c r="W64" s="82" t="str">
        <f t="shared" si="3"/>
        <v>-</v>
      </c>
      <c r="Z64" s="53" t="str">
        <f t="shared" si="5"/>
        <v>-</v>
      </c>
    </row>
    <row r="65" spans="2:40" x14ac:dyDescent="0.35">
      <c r="B65" s="19">
        <v>62</v>
      </c>
      <c r="C65" s="33" t="s">
        <v>65</v>
      </c>
      <c r="D65" s="19" t="s">
        <v>60</v>
      </c>
      <c r="F65" s="19">
        <v>642</v>
      </c>
      <c r="G65" s="19">
        <v>3</v>
      </c>
      <c r="H65" s="19">
        <v>100</v>
      </c>
      <c r="I65" s="19">
        <v>1</v>
      </c>
      <c r="J65" s="19">
        <v>5000</v>
      </c>
      <c r="K65" s="19">
        <v>65</v>
      </c>
      <c r="L65" s="19">
        <v>1</v>
      </c>
      <c r="M65" s="19">
        <f>(169+182.5)-(154.5+173)</f>
        <v>24</v>
      </c>
      <c r="N65" s="26">
        <f t="shared" ref="N65" si="74">M65/2.2</f>
        <v>10.909090909090908</v>
      </c>
      <c r="O65" s="27">
        <f t="shared" ref="O65" si="75">N65/H65</f>
        <v>0.10909090909090909</v>
      </c>
      <c r="P65" s="19">
        <v>1</v>
      </c>
      <c r="U65" s="82" t="str">
        <f t="shared" si="1"/>
        <v>-</v>
      </c>
      <c r="V65" s="82" t="str">
        <f t="shared" si="2"/>
        <v>-</v>
      </c>
      <c r="W65" s="82" t="str">
        <f t="shared" si="3"/>
        <v>-</v>
      </c>
      <c r="Z65" s="53" t="str">
        <f t="shared" si="5"/>
        <v>-</v>
      </c>
    </row>
    <row r="66" spans="2:40" x14ac:dyDescent="0.35">
      <c r="B66" s="19">
        <v>63</v>
      </c>
      <c r="C66" s="33" t="s">
        <v>65</v>
      </c>
      <c r="D66" s="19" t="s">
        <v>60</v>
      </c>
      <c r="F66" s="19">
        <v>642</v>
      </c>
      <c r="G66" s="19">
        <v>4</v>
      </c>
      <c r="H66" s="19">
        <v>100</v>
      </c>
      <c r="I66" s="19">
        <v>1</v>
      </c>
      <c r="J66" s="19">
        <v>5000</v>
      </c>
      <c r="K66" s="19">
        <v>65</v>
      </c>
      <c r="L66" s="19">
        <v>1</v>
      </c>
      <c r="M66" s="19">
        <f>(136+172.5+145+170)-(122+162.5+145+170.5)</f>
        <v>23.5</v>
      </c>
      <c r="N66" s="26">
        <f t="shared" ref="N66" si="76">M66/2.2</f>
        <v>10.681818181818182</v>
      </c>
      <c r="O66" s="27">
        <f t="shared" ref="O66" si="77">N66/H66</f>
        <v>0.10681818181818181</v>
      </c>
      <c r="P66" s="19">
        <v>1</v>
      </c>
      <c r="U66" s="82" t="str">
        <f t="shared" si="1"/>
        <v>-</v>
      </c>
      <c r="V66" s="82" t="str">
        <f t="shared" si="2"/>
        <v>-</v>
      </c>
      <c r="W66" s="82" t="str">
        <f t="shared" si="3"/>
        <v>-</v>
      </c>
      <c r="Z66" s="53" t="str">
        <f t="shared" si="5"/>
        <v>-</v>
      </c>
    </row>
    <row r="67" spans="2:40" x14ac:dyDescent="0.35">
      <c r="B67" s="19">
        <v>64</v>
      </c>
      <c r="C67" s="33" t="s">
        <v>66</v>
      </c>
      <c r="D67" s="19" t="s">
        <v>56</v>
      </c>
      <c r="F67" s="19">
        <v>629</v>
      </c>
      <c r="G67" s="19">
        <v>1</v>
      </c>
      <c r="H67" s="19">
        <v>100</v>
      </c>
      <c r="I67" s="19">
        <v>1</v>
      </c>
      <c r="J67" s="19">
        <v>5000</v>
      </c>
      <c r="K67" s="19">
        <v>65</v>
      </c>
      <c r="L67" s="19">
        <v>1</v>
      </c>
      <c r="M67" s="19">
        <f>(165.5+168)-(133.5+137)</f>
        <v>63</v>
      </c>
      <c r="N67" s="26">
        <f t="shared" ref="N67" si="78">M67/2.2</f>
        <v>28.636363636363633</v>
      </c>
      <c r="O67" s="27">
        <f t="shared" ref="O67" si="79">N67/H67</f>
        <v>0.28636363636363632</v>
      </c>
      <c r="P67" s="19">
        <v>1</v>
      </c>
      <c r="U67" s="82" t="str">
        <f t="shared" si="1"/>
        <v>-</v>
      </c>
      <c r="V67" s="82" t="str">
        <f t="shared" si="2"/>
        <v>-</v>
      </c>
      <c r="W67" s="82" t="str">
        <f t="shared" si="3"/>
        <v>-</v>
      </c>
      <c r="Z67" s="53" t="str">
        <f t="shared" si="5"/>
        <v>-</v>
      </c>
    </row>
    <row r="68" spans="2:40" x14ac:dyDescent="0.35">
      <c r="B68" s="19">
        <v>65</v>
      </c>
      <c r="C68" s="33" t="s">
        <v>67</v>
      </c>
      <c r="D68" s="19" t="s">
        <v>56</v>
      </c>
      <c r="F68" s="19">
        <v>628</v>
      </c>
      <c r="G68" s="19">
        <v>1</v>
      </c>
      <c r="H68" s="19">
        <v>100</v>
      </c>
      <c r="I68" s="19">
        <v>1</v>
      </c>
      <c r="J68" s="19">
        <v>5000</v>
      </c>
      <c r="K68" s="19">
        <v>65</v>
      </c>
      <c r="L68" s="19">
        <v>1</v>
      </c>
      <c r="M68" s="19">
        <f>(165.5+158)-(136+129)</f>
        <v>58.5</v>
      </c>
      <c r="N68" s="26">
        <f t="shared" ref="N68:N69" si="80">M68/2.2</f>
        <v>26.59090909090909</v>
      </c>
      <c r="O68" s="27">
        <f t="shared" ref="O68:O69" si="81">N68/H68</f>
        <v>0.26590909090909087</v>
      </c>
      <c r="P68" s="19">
        <v>1</v>
      </c>
      <c r="U68" s="82" t="str">
        <f t="shared" ref="U68:U124" si="82">IF(AB68&lt;&gt;"",(AI68-AB68)/AI68,"-")</f>
        <v>-</v>
      </c>
      <c r="V68" s="82" t="str">
        <f t="shared" ref="V68:V124" si="83">IF(AC68&lt;&gt;"",(AJ68-AC68)/AJ68,"-")</f>
        <v>-</v>
      </c>
      <c r="W68" s="82" t="str">
        <f t="shared" ref="W68:W124" si="84">IF(AD68&lt;&gt;"",(AK68-AD68)/AK68,"-")</f>
        <v>-</v>
      </c>
      <c r="Z68" s="53" t="str">
        <f t="shared" si="5"/>
        <v>-</v>
      </c>
    </row>
    <row r="69" spans="2:40" x14ac:dyDescent="0.35">
      <c r="B69" s="19">
        <v>66</v>
      </c>
      <c r="C69" s="33" t="s">
        <v>67</v>
      </c>
      <c r="D69" s="19" t="s">
        <v>56</v>
      </c>
      <c r="F69" s="19">
        <v>628</v>
      </c>
      <c r="G69" s="19">
        <v>2</v>
      </c>
      <c r="H69" s="19">
        <v>100</v>
      </c>
      <c r="I69" s="19">
        <v>2</v>
      </c>
      <c r="J69" s="19">
        <v>5000</v>
      </c>
      <c r="K69" s="19">
        <v>65</v>
      </c>
      <c r="L69" s="19">
        <v>1</v>
      </c>
      <c r="M69" s="19">
        <f>(151.5+170+136.5+129)-(120.5+154.5+135.5+128.5)</f>
        <v>48</v>
      </c>
      <c r="N69" s="26">
        <f t="shared" si="80"/>
        <v>21.818181818181817</v>
      </c>
      <c r="O69" s="27">
        <f t="shared" si="81"/>
        <v>0.21818181818181817</v>
      </c>
      <c r="P69" s="19">
        <v>1</v>
      </c>
      <c r="U69" s="82" t="str">
        <f t="shared" si="82"/>
        <v>-</v>
      </c>
      <c r="V69" s="82" t="str">
        <f t="shared" si="83"/>
        <v>-</v>
      </c>
      <c r="W69" s="82" t="str">
        <f t="shared" si="84"/>
        <v>-</v>
      </c>
      <c r="Z69" s="53" t="str">
        <f t="shared" ref="Z69:Z125" si="85">IF(Y69,1-Y69/X69,"-")</f>
        <v>-</v>
      </c>
    </row>
    <row r="70" spans="2:40" x14ac:dyDescent="0.35">
      <c r="B70" s="19">
        <v>67</v>
      </c>
      <c r="C70" s="33" t="s">
        <v>68</v>
      </c>
      <c r="D70" s="19" t="s">
        <v>56</v>
      </c>
      <c r="F70" s="19">
        <v>628</v>
      </c>
      <c r="G70" s="19">
        <v>5</v>
      </c>
      <c r="H70" s="19">
        <v>100</v>
      </c>
      <c r="I70" s="19">
        <v>1</v>
      </c>
      <c r="J70" s="19">
        <v>5000</v>
      </c>
      <c r="K70" s="19">
        <v>65</v>
      </c>
      <c r="L70" s="19">
        <v>1</v>
      </c>
      <c r="M70" s="19">
        <f>(140+152+157+139)-(131.5+143+150.5+130)+(166.5+165)-(167+147.5)</f>
        <v>50</v>
      </c>
      <c r="N70" s="26">
        <f t="shared" ref="N70" si="86">M70/2.2</f>
        <v>22.727272727272727</v>
      </c>
      <c r="O70" s="27">
        <f t="shared" ref="O70" si="87">N70/H70</f>
        <v>0.22727272727272727</v>
      </c>
      <c r="P70" s="19">
        <v>1</v>
      </c>
      <c r="U70" s="82" t="str">
        <f t="shared" si="82"/>
        <v>-</v>
      </c>
      <c r="V70" s="82" t="str">
        <f t="shared" si="83"/>
        <v>-</v>
      </c>
      <c r="W70" s="82" t="str">
        <f t="shared" si="84"/>
        <v>-</v>
      </c>
      <c r="Z70" s="53" t="str">
        <f t="shared" si="85"/>
        <v>-</v>
      </c>
    </row>
    <row r="71" spans="2:40" x14ac:dyDescent="0.35">
      <c r="B71" s="19">
        <v>68</v>
      </c>
      <c r="C71" s="33" t="s">
        <v>68</v>
      </c>
      <c r="D71" s="19" t="s">
        <v>56</v>
      </c>
      <c r="F71" s="19">
        <v>628</v>
      </c>
      <c r="G71" s="19">
        <v>6</v>
      </c>
      <c r="H71" s="19">
        <v>100</v>
      </c>
      <c r="I71" s="19">
        <v>2</v>
      </c>
      <c r="J71" s="19">
        <v>5000</v>
      </c>
      <c r="K71" s="19">
        <v>65</v>
      </c>
      <c r="L71" s="19">
        <v>1</v>
      </c>
      <c r="M71" s="19">
        <f>(167+147.5)-(154+127.5)+(193+180+154+127.5)-(181.5+177+153.5+135.5)</f>
        <v>40</v>
      </c>
      <c r="N71" s="26">
        <f t="shared" ref="N71" si="88">M71/2.2</f>
        <v>18.18181818181818</v>
      </c>
      <c r="O71" s="27">
        <f t="shared" ref="O71" si="89">N71/H71</f>
        <v>0.1818181818181818</v>
      </c>
      <c r="P71" s="19">
        <v>1</v>
      </c>
      <c r="U71" s="82" t="str">
        <f t="shared" si="82"/>
        <v>-</v>
      </c>
      <c r="V71" s="82" t="str">
        <f t="shared" si="83"/>
        <v>-</v>
      </c>
      <c r="W71" s="82" t="str">
        <f t="shared" si="84"/>
        <v>-</v>
      </c>
      <c r="Z71" s="53" t="str">
        <f t="shared" si="85"/>
        <v>-</v>
      </c>
    </row>
    <row r="72" spans="2:40" x14ac:dyDescent="0.35">
      <c r="B72" s="19">
        <v>69</v>
      </c>
      <c r="C72" s="33" t="s">
        <v>69</v>
      </c>
      <c r="D72" s="19" t="s">
        <v>43</v>
      </c>
      <c r="F72" s="19">
        <v>615</v>
      </c>
      <c r="G72" s="19">
        <v>1</v>
      </c>
      <c r="H72" s="19">
        <v>100</v>
      </c>
      <c r="I72" s="19">
        <v>1</v>
      </c>
      <c r="J72" s="19">
        <v>5000</v>
      </c>
      <c r="K72" s="19">
        <v>65</v>
      </c>
      <c r="L72" s="19">
        <v>1</v>
      </c>
      <c r="M72" s="19">
        <f>(166.5+159+183+171)-(151+142+166+152.5)</f>
        <v>68</v>
      </c>
      <c r="N72" s="26">
        <f t="shared" ref="N72:N73" si="90">M72/2.2</f>
        <v>30.909090909090907</v>
      </c>
      <c r="O72" s="27">
        <f t="shared" ref="O72:O73" si="91">N72/H72</f>
        <v>0.30909090909090908</v>
      </c>
      <c r="P72" s="19">
        <v>1</v>
      </c>
      <c r="U72" s="82" t="str">
        <f t="shared" si="82"/>
        <v>-</v>
      </c>
      <c r="V72" s="82" t="str">
        <f t="shared" si="83"/>
        <v>-</v>
      </c>
      <c r="W72" s="82" t="str">
        <f t="shared" si="84"/>
        <v>-</v>
      </c>
      <c r="Z72" s="53" t="str">
        <f t="shared" si="85"/>
        <v>-</v>
      </c>
    </row>
    <row r="73" spans="2:40" x14ac:dyDescent="0.35">
      <c r="B73" s="19">
        <v>70</v>
      </c>
      <c r="C73" s="33" t="s">
        <v>70</v>
      </c>
      <c r="D73" s="19" t="s">
        <v>43</v>
      </c>
      <c r="F73" s="19">
        <v>615</v>
      </c>
      <c r="G73" s="19">
        <v>3</v>
      </c>
      <c r="H73" s="19">
        <v>100</v>
      </c>
      <c r="I73" s="19">
        <v>1</v>
      </c>
      <c r="J73" s="19">
        <v>5000</v>
      </c>
      <c r="K73" s="19">
        <v>65</v>
      </c>
      <c r="L73" s="19">
        <v>1</v>
      </c>
      <c r="M73" s="19">
        <f>(123+166.5)-(92+134.5)</f>
        <v>63</v>
      </c>
      <c r="N73" s="26">
        <f t="shared" si="90"/>
        <v>28.636363636363633</v>
      </c>
      <c r="O73" s="27">
        <f t="shared" si="91"/>
        <v>0.28636363636363632</v>
      </c>
      <c r="P73" s="19">
        <v>1</v>
      </c>
      <c r="U73" s="82" t="str">
        <f t="shared" si="82"/>
        <v>-</v>
      </c>
      <c r="V73" s="82" t="str">
        <f t="shared" si="83"/>
        <v>-</v>
      </c>
      <c r="W73" s="82" t="str">
        <f t="shared" si="84"/>
        <v>-</v>
      </c>
      <c r="Z73" s="53" t="str">
        <f t="shared" si="85"/>
        <v>-</v>
      </c>
    </row>
    <row r="74" spans="2:40" x14ac:dyDescent="0.35">
      <c r="B74" s="19">
        <v>71</v>
      </c>
      <c r="C74" s="33" t="s">
        <v>71</v>
      </c>
      <c r="D74" s="19" t="s">
        <v>43</v>
      </c>
      <c r="F74" s="19">
        <v>686</v>
      </c>
      <c r="G74" s="19">
        <v>3</v>
      </c>
      <c r="H74" s="19">
        <v>100</v>
      </c>
      <c r="I74" s="19">
        <v>1</v>
      </c>
      <c r="J74" s="19">
        <v>5000</v>
      </c>
      <c r="K74" s="19">
        <v>65</v>
      </c>
      <c r="L74" s="19">
        <v>1</v>
      </c>
      <c r="M74" s="19">
        <f>(121.5+146+152.5+167.5)-(118+141.5+143+160.5)</f>
        <v>24.5</v>
      </c>
      <c r="N74" s="26">
        <f t="shared" ref="N74:N75" si="92">M74/2.2</f>
        <v>11.136363636363635</v>
      </c>
      <c r="O74" s="27">
        <f t="shared" ref="O74:O75" si="93">N74/H74</f>
        <v>0.11136363636363635</v>
      </c>
      <c r="P74" s="19">
        <v>1</v>
      </c>
      <c r="U74" s="82" t="str">
        <f t="shared" si="82"/>
        <v>-</v>
      </c>
      <c r="V74" s="82" t="str">
        <f t="shared" si="83"/>
        <v>-</v>
      </c>
      <c r="W74" s="82" t="str">
        <f t="shared" si="84"/>
        <v>-</v>
      </c>
      <c r="Z74" s="53" t="str">
        <f t="shared" si="85"/>
        <v>-</v>
      </c>
    </row>
    <row r="75" spans="2:40" x14ac:dyDescent="0.35">
      <c r="B75" s="19">
        <v>72</v>
      </c>
      <c r="C75" s="33" t="s">
        <v>71</v>
      </c>
      <c r="D75" s="19" t="s">
        <v>43</v>
      </c>
      <c r="F75" s="19">
        <v>686</v>
      </c>
      <c r="G75" s="19">
        <v>4</v>
      </c>
      <c r="H75" s="19">
        <v>100</v>
      </c>
      <c r="I75" s="19">
        <v>2</v>
      </c>
      <c r="J75" s="19">
        <v>5000</v>
      </c>
      <c r="K75" s="19">
        <v>65</v>
      </c>
      <c r="L75" s="19">
        <v>1</v>
      </c>
      <c r="M75" s="19">
        <f>(164+171)-(135+140)</f>
        <v>60</v>
      </c>
      <c r="N75" s="26">
        <f t="shared" si="92"/>
        <v>27.27272727272727</v>
      </c>
      <c r="O75" s="27">
        <f t="shared" si="93"/>
        <v>0.27272727272727271</v>
      </c>
      <c r="P75" s="19">
        <v>1</v>
      </c>
      <c r="U75" s="82" t="str">
        <f t="shared" si="82"/>
        <v>-</v>
      </c>
      <c r="V75" s="82" t="str">
        <f t="shared" si="83"/>
        <v>-</v>
      </c>
      <c r="W75" s="82" t="str">
        <f t="shared" si="84"/>
        <v>-</v>
      </c>
      <c r="Z75" s="53" t="str">
        <f t="shared" si="85"/>
        <v>-</v>
      </c>
    </row>
    <row r="76" spans="2:40" x14ac:dyDescent="0.35">
      <c r="B76" s="19">
        <v>73</v>
      </c>
      <c r="C76" s="35">
        <v>43251</v>
      </c>
      <c r="D76" s="19" t="s">
        <v>43</v>
      </c>
      <c r="F76" s="19">
        <v>686</v>
      </c>
      <c r="G76" s="19">
        <v>3</v>
      </c>
      <c r="H76" s="19">
        <v>100</v>
      </c>
      <c r="I76" s="19">
        <v>1</v>
      </c>
      <c r="J76" s="19">
        <v>5000</v>
      </c>
      <c r="K76" s="19">
        <v>65</v>
      </c>
      <c r="L76" s="19">
        <v>1</v>
      </c>
      <c r="M76" s="19">
        <f>(155+182+134.5+139.5)-(126.5+170.5+136+143.5)</f>
        <v>34.5</v>
      </c>
      <c r="N76" s="26">
        <f t="shared" ref="N76:N77" si="94">M76/2.2</f>
        <v>15.68181818181818</v>
      </c>
      <c r="O76" s="27">
        <f t="shared" ref="O76:O77" si="95">N76/H76</f>
        <v>0.1568181818181818</v>
      </c>
      <c r="P76" s="19">
        <v>1</v>
      </c>
      <c r="U76" s="82" t="str">
        <f t="shared" si="82"/>
        <v>-</v>
      </c>
      <c r="V76" s="82" t="str">
        <f t="shared" si="83"/>
        <v>-</v>
      </c>
      <c r="W76" s="82" t="str">
        <f t="shared" si="84"/>
        <v>-</v>
      </c>
      <c r="Z76" s="53" t="str">
        <f t="shared" si="85"/>
        <v>-</v>
      </c>
    </row>
    <row r="77" spans="2:40" x14ac:dyDescent="0.35">
      <c r="B77" s="19">
        <v>74</v>
      </c>
      <c r="C77" s="33" t="s">
        <v>72</v>
      </c>
      <c r="D77" s="19" t="s">
        <v>9</v>
      </c>
      <c r="F77" s="19">
        <v>692</v>
      </c>
      <c r="G77" s="19">
        <v>3</v>
      </c>
      <c r="H77" s="19">
        <v>90</v>
      </c>
      <c r="I77" s="19">
        <v>1</v>
      </c>
      <c r="J77" s="19">
        <v>5000</v>
      </c>
      <c r="K77" s="19">
        <v>65</v>
      </c>
      <c r="L77" s="19">
        <v>1</v>
      </c>
      <c r="M77" s="19">
        <f>(144+145.5+129+147)-(141+145.5+126.5+144)+(181.5+177)-(158+168.5)</f>
        <v>40.5</v>
      </c>
      <c r="N77" s="26">
        <f t="shared" si="94"/>
        <v>18.409090909090907</v>
      </c>
      <c r="O77" s="27">
        <f t="shared" si="95"/>
        <v>0.20454545454545453</v>
      </c>
      <c r="P77" s="19">
        <v>1</v>
      </c>
      <c r="U77" s="82" t="str">
        <f t="shared" si="82"/>
        <v>-</v>
      </c>
      <c r="V77" s="82" t="str">
        <f t="shared" si="83"/>
        <v>-</v>
      </c>
      <c r="W77" s="82" t="str">
        <f t="shared" si="84"/>
        <v>-</v>
      </c>
      <c r="Z77" s="53" t="str">
        <f t="shared" si="85"/>
        <v>-</v>
      </c>
    </row>
    <row r="78" spans="2:40" x14ac:dyDescent="0.35">
      <c r="B78" s="19">
        <v>75</v>
      </c>
      <c r="C78" s="33" t="s">
        <v>72</v>
      </c>
      <c r="D78" s="19" t="s">
        <v>9</v>
      </c>
      <c r="F78" s="19">
        <v>692</v>
      </c>
      <c r="G78" s="19">
        <v>4</v>
      </c>
      <c r="H78" s="19">
        <v>90</v>
      </c>
      <c r="I78" s="19">
        <v>2</v>
      </c>
      <c r="J78" s="19">
        <v>5000</v>
      </c>
      <c r="K78" s="19">
        <v>65</v>
      </c>
      <c r="L78" s="19">
        <v>1</v>
      </c>
      <c r="M78" s="19">
        <f>(172.5+162.5+158+168)-(146.5+135.5+157+168)</f>
        <v>54</v>
      </c>
      <c r="N78" s="26">
        <f t="shared" ref="N78" si="96">M78/2.2</f>
        <v>24.545454545454543</v>
      </c>
      <c r="O78" s="27">
        <f t="shared" ref="O78" si="97">N78/H78</f>
        <v>0.27272727272727271</v>
      </c>
      <c r="P78" s="19">
        <v>1</v>
      </c>
      <c r="U78" s="82" t="str">
        <f t="shared" si="82"/>
        <v>-</v>
      </c>
      <c r="V78" s="82" t="str">
        <f t="shared" si="83"/>
        <v>-</v>
      </c>
      <c r="W78" s="82" t="str">
        <f t="shared" si="84"/>
        <v>-</v>
      </c>
      <c r="Z78" s="53" t="str">
        <f t="shared" si="85"/>
        <v>-</v>
      </c>
    </row>
    <row r="79" spans="2:40" x14ac:dyDescent="0.35">
      <c r="B79" s="19">
        <v>76</v>
      </c>
      <c r="C79" s="33" t="s">
        <v>73</v>
      </c>
      <c r="D79" s="19" t="s">
        <v>9</v>
      </c>
      <c r="F79" s="19">
        <v>692</v>
      </c>
      <c r="G79" s="19">
        <v>7</v>
      </c>
      <c r="H79" s="19">
        <v>100</v>
      </c>
      <c r="I79" s="19">
        <v>1</v>
      </c>
      <c r="J79" s="19">
        <v>5000</v>
      </c>
      <c r="K79" s="19">
        <v>65</v>
      </c>
      <c r="L79" s="19">
        <v>1</v>
      </c>
      <c r="M79" s="19">
        <f>(163+187)-(130+156)</f>
        <v>64</v>
      </c>
      <c r="N79" s="26">
        <f t="shared" ref="N79" si="98">M79/2.2</f>
        <v>29.09090909090909</v>
      </c>
      <c r="O79" s="27">
        <f t="shared" ref="O79" si="99">N79/H79</f>
        <v>0.29090909090909089</v>
      </c>
      <c r="P79" s="19">
        <v>1</v>
      </c>
      <c r="U79" s="82" t="str">
        <f t="shared" si="82"/>
        <v>-</v>
      </c>
      <c r="V79" s="82" t="str">
        <f t="shared" si="83"/>
        <v>-</v>
      </c>
      <c r="W79" s="82" t="str">
        <f t="shared" si="84"/>
        <v>-</v>
      </c>
      <c r="Z79" s="53" t="str">
        <f t="shared" si="85"/>
        <v>-</v>
      </c>
    </row>
    <row r="80" spans="2:40" s="8" customFormat="1" x14ac:dyDescent="0.35">
      <c r="B80" s="8">
        <v>77</v>
      </c>
      <c r="C80" s="36" t="s">
        <v>73</v>
      </c>
      <c r="D80" s="8" t="s">
        <v>9</v>
      </c>
      <c r="F80" s="8">
        <v>692</v>
      </c>
      <c r="G80" s="8">
        <v>8</v>
      </c>
      <c r="H80" s="8">
        <v>100</v>
      </c>
      <c r="I80" s="8">
        <v>2</v>
      </c>
      <c r="J80" s="8">
        <v>5000</v>
      </c>
      <c r="K80" s="8">
        <v>65</v>
      </c>
      <c r="L80" s="8">
        <v>1</v>
      </c>
      <c r="M80" s="8">
        <f>(155.5+162.5+130+156)</f>
        <v>604</v>
      </c>
      <c r="N80" s="30">
        <f t="shared" ref="N80:N81" si="100">M80/2.2</f>
        <v>274.5454545454545</v>
      </c>
      <c r="O80" s="37">
        <f t="shared" ref="O80:O81" si="101">N80/H80</f>
        <v>2.7454545454545451</v>
      </c>
      <c r="P80" s="8">
        <v>1</v>
      </c>
      <c r="U80" s="82" t="str">
        <f t="shared" si="82"/>
        <v>-</v>
      </c>
      <c r="V80" s="82" t="str">
        <f t="shared" si="83"/>
        <v>-</v>
      </c>
      <c r="W80" s="82" t="str">
        <f t="shared" si="84"/>
        <v>-</v>
      </c>
      <c r="Z80" s="53" t="str">
        <f t="shared" si="85"/>
        <v>-</v>
      </c>
      <c r="AA80" s="7"/>
      <c r="AD80" s="9"/>
      <c r="AE80" s="7"/>
      <c r="AG80" s="9"/>
      <c r="AH80" s="7"/>
      <c r="AK80" s="9"/>
      <c r="AL80" s="7"/>
      <c r="AN80" s="9"/>
    </row>
    <row r="81" spans="2:26" x14ac:dyDescent="0.35">
      <c r="B81" s="19">
        <v>78</v>
      </c>
      <c r="C81" s="33" t="s">
        <v>74</v>
      </c>
      <c r="D81" s="19" t="s">
        <v>53</v>
      </c>
      <c r="F81" s="19">
        <v>691</v>
      </c>
      <c r="G81" s="19">
        <v>1</v>
      </c>
      <c r="H81" s="19">
        <v>90</v>
      </c>
      <c r="I81" s="19">
        <v>1</v>
      </c>
      <c r="J81" s="19">
        <v>5000</v>
      </c>
      <c r="K81" s="19">
        <v>65</v>
      </c>
      <c r="L81" s="19">
        <v>1</v>
      </c>
      <c r="M81" s="19">
        <f>(159.5+171.5+158+159)-(158+144.5+138.5+148.5)</f>
        <v>58.5</v>
      </c>
      <c r="N81" s="26">
        <f t="shared" si="100"/>
        <v>26.59090909090909</v>
      </c>
      <c r="O81" s="27">
        <f t="shared" si="101"/>
        <v>0.29545454545454547</v>
      </c>
      <c r="P81" s="19">
        <v>1</v>
      </c>
      <c r="U81" s="82" t="str">
        <f t="shared" si="82"/>
        <v>-</v>
      </c>
      <c r="V81" s="82" t="str">
        <f t="shared" si="83"/>
        <v>-</v>
      </c>
      <c r="W81" s="82" t="str">
        <f t="shared" si="84"/>
        <v>-</v>
      </c>
      <c r="Z81" s="53" t="str">
        <f t="shared" si="85"/>
        <v>-</v>
      </c>
    </row>
    <row r="82" spans="2:26" x14ac:dyDescent="0.35">
      <c r="B82" s="19">
        <v>79</v>
      </c>
      <c r="C82" s="33" t="s">
        <v>74</v>
      </c>
      <c r="D82" s="19" t="s">
        <v>53</v>
      </c>
      <c r="F82" s="19">
        <v>691</v>
      </c>
      <c r="G82" s="19">
        <v>2</v>
      </c>
      <c r="H82" s="19">
        <v>100</v>
      </c>
      <c r="I82" s="19">
        <v>2</v>
      </c>
      <c r="J82" s="19">
        <v>5000</v>
      </c>
      <c r="K82" s="19">
        <v>65</v>
      </c>
      <c r="L82" s="19">
        <v>1</v>
      </c>
      <c r="M82" s="19">
        <f>(158+144.5+138.5+148.5)-(149+130.5+126.5+139.5)</f>
        <v>44</v>
      </c>
      <c r="N82" s="26">
        <f t="shared" ref="N82:N83" si="102">M82/2.2</f>
        <v>20</v>
      </c>
      <c r="O82" s="27">
        <f t="shared" ref="O82:O83" si="103">N82/H82</f>
        <v>0.2</v>
      </c>
      <c r="P82" s="19">
        <v>1</v>
      </c>
      <c r="U82" s="82" t="str">
        <f t="shared" si="82"/>
        <v>-</v>
      </c>
      <c r="V82" s="82" t="str">
        <f t="shared" si="83"/>
        <v>-</v>
      </c>
      <c r="W82" s="82" t="str">
        <f t="shared" si="84"/>
        <v>-</v>
      </c>
      <c r="Z82" s="53" t="str">
        <f t="shared" si="85"/>
        <v>-</v>
      </c>
    </row>
    <row r="83" spans="2:26" x14ac:dyDescent="0.35">
      <c r="B83" s="19">
        <v>80</v>
      </c>
      <c r="C83" s="33" t="s">
        <v>74</v>
      </c>
      <c r="D83" s="19" t="s">
        <v>53</v>
      </c>
      <c r="F83" s="19">
        <v>691</v>
      </c>
      <c r="G83" s="19">
        <v>3</v>
      </c>
      <c r="H83" s="19">
        <v>100</v>
      </c>
      <c r="I83" s="19">
        <v>1</v>
      </c>
      <c r="J83" s="19">
        <v>5000</v>
      </c>
      <c r="K83" s="19">
        <v>65</v>
      </c>
      <c r="L83" s="19">
        <v>1</v>
      </c>
      <c r="M83" s="19">
        <f>(161.5+174.5)-(136.5+144)</f>
        <v>55.5</v>
      </c>
      <c r="N83" s="26">
        <f t="shared" si="102"/>
        <v>25.227272727272727</v>
      </c>
      <c r="O83" s="27">
        <f t="shared" si="103"/>
        <v>0.25227272727272726</v>
      </c>
      <c r="P83" s="19">
        <v>1</v>
      </c>
      <c r="U83" s="82" t="str">
        <f t="shared" si="82"/>
        <v>-</v>
      </c>
      <c r="V83" s="82" t="str">
        <f t="shared" si="83"/>
        <v>-</v>
      </c>
      <c r="W83" s="82" t="str">
        <f t="shared" si="84"/>
        <v>-</v>
      </c>
      <c r="Z83" s="53" t="str">
        <f t="shared" si="85"/>
        <v>-</v>
      </c>
    </row>
    <row r="84" spans="2:26" x14ac:dyDescent="0.35">
      <c r="B84" s="19">
        <v>81</v>
      </c>
      <c r="C84" s="33" t="s">
        <v>74</v>
      </c>
      <c r="D84" s="19" t="s">
        <v>53</v>
      </c>
      <c r="F84" s="19">
        <v>691</v>
      </c>
      <c r="G84" s="19">
        <v>4</v>
      </c>
      <c r="H84" s="19">
        <v>100</v>
      </c>
      <c r="I84" s="19">
        <v>2</v>
      </c>
      <c r="J84" s="19">
        <v>5000</v>
      </c>
      <c r="K84" s="19">
        <v>65</v>
      </c>
      <c r="L84" s="19">
        <v>1</v>
      </c>
      <c r="M84" s="19">
        <f>(158+164.5+136.5+144)-(132.5+137.5+131+139)</f>
        <v>63</v>
      </c>
      <c r="N84" s="26">
        <f t="shared" ref="N84" si="104">M84/2.2</f>
        <v>28.636363636363633</v>
      </c>
      <c r="O84" s="27">
        <f t="shared" ref="O84" si="105">N84/H84</f>
        <v>0.28636363636363632</v>
      </c>
      <c r="P84" s="19">
        <v>1</v>
      </c>
      <c r="U84" s="82" t="str">
        <f t="shared" si="82"/>
        <v>-</v>
      </c>
      <c r="V84" s="82" t="str">
        <f t="shared" si="83"/>
        <v>-</v>
      </c>
      <c r="W84" s="82" t="str">
        <f t="shared" si="84"/>
        <v>-</v>
      </c>
      <c r="Z84" s="53" t="str">
        <f t="shared" si="85"/>
        <v>-</v>
      </c>
    </row>
    <row r="85" spans="2:26" x14ac:dyDescent="0.35">
      <c r="B85" s="19">
        <v>82</v>
      </c>
      <c r="C85" s="33" t="s">
        <v>75</v>
      </c>
      <c r="D85" s="19" t="s">
        <v>43</v>
      </c>
      <c r="F85" s="19">
        <v>687</v>
      </c>
      <c r="G85" s="19">
        <v>1</v>
      </c>
      <c r="H85" s="19">
        <v>90</v>
      </c>
      <c r="I85" s="19">
        <v>1</v>
      </c>
      <c r="J85" s="19">
        <v>5000</v>
      </c>
      <c r="K85" s="19">
        <v>65</v>
      </c>
      <c r="L85" s="19">
        <v>1</v>
      </c>
      <c r="M85" s="19">
        <f>(134.5+146+166.5+138+168.5+153.5)-(130.5+140+160.5+130.5+155.5+141.5)</f>
        <v>48.5</v>
      </c>
      <c r="N85" s="26">
        <f t="shared" ref="N85" si="106">M85/2.2</f>
        <v>22.045454545454543</v>
      </c>
      <c r="O85" s="27">
        <f t="shared" ref="O85" si="107">N85/H85</f>
        <v>0.24494949494949492</v>
      </c>
      <c r="P85" s="19">
        <v>1</v>
      </c>
      <c r="R85" s="11" t="str">
        <f t="shared" ref="R85:R139" si="108">IF(AND(X85&lt;&gt;0,AI85&lt;&gt;0,$M85&lt;&gt;0),$M85/($X85*(AI85/100)),"")</f>
        <v/>
      </c>
      <c r="S85" s="11" t="str">
        <f t="shared" ref="S85:S139" si="109">IF(AND(Y85&lt;&gt;0,AJ85&lt;&gt;0,$M85&lt;&gt;0),$M85/($X85*(AJ85/100)),"")</f>
        <v/>
      </c>
      <c r="T85" s="11" t="str">
        <f t="shared" ref="T85:T139" si="110">IF(AND(Z85&lt;&gt;0,AK85&lt;&gt;0,$M85&lt;&gt;0),$M85/($X85*(AK85/100)),"")</f>
        <v/>
      </c>
      <c r="U85" s="82" t="str">
        <f t="shared" si="82"/>
        <v>-</v>
      </c>
      <c r="V85" s="82" t="str">
        <f t="shared" si="83"/>
        <v>-</v>
      </c>
      <c r="W85" s="82" t="str">
        <f t="shared" si="84"/>
        <v>-</v>
      </c>
      <c r="X85" s="19">
        <v>1526.5</v>
      </c>
      <c r="Y85" s="19">
        <f>1222-0</f>
        <v>1222</v>
      </c>
      <c r="Z85" s="53">
        <f t="shared" si="85"/>
        <v>0.19947592531935798</v>
      </c>
    </row>
    <row r="86" spans="2:26" x14ac:dyDescent="0.35">
      <c r="B86" s="19">
        <v>83</v>
      </c>
      <c r="C86" s="33" t="s">
        <v>75</v>
      </c>
      <c r="D86" s="19" t="s">
        <v>43</v>
      </c>
      <c r="F86" s="19">
        <v>687</v>
      </c>
      <c r="G86" s="19">
        <v>2</v>
      </c>
      <c r="H86" s="19">
        <v>90</v>
      </c>
      <c r="I86" s="19">
        <v>1</v>
      </c>
      <c r="J86" s="19">
        <v>5000</v>
      </c>
      <c r="K86" s="19">
        <v>65</v>
      </c>
      <c r="L86" s="19">
        <v>1</v>
      </c>
      <c r="M86" s="19">
        <f>(155.5+141.5+158+165)-(136+120.5+158+165)</f>
        <v>40.5</v>
      </c>
      <c r="N86" s="26">
        <f t="shared" ref="N86" si="111">M86/2.2</f>
        <v>18.409090909090907</v>
      </c>
      <c r="O86" s="27">
        <f t="shared" ref="O86" si="112">N86/H86</f>
        <v>0.20454545454545453</v>
      </c>
      <c r="P86" s="19">
        <v>1</v>
      </c>
      <c r="R86" s="11" t="str">
        <f t="shared" si="108"/>
        <v/>
      </c>
      <c r="S86" s="11" t="str">
        <f t="shared" si="109"/>
        <v/>
      </c>
      <c r="T86" s="11" t="str">
        <f t="shared" si="110"/>
        <v/>
      </c>
      <c r="U86" s="82" t="str">
        <f t="shared" si="82"/>
        <v>-</v>
      </c>
      <c r="V86" s="82" t="str">
        <f t="shared" si="83"/>
        <v>-</v>
      </c>
      <c r="W86" s="82" t="str">
        <f t="shared" si="84"/>
        <v>-</v>
      </c>
      <c r="Z86" s="53" t="str">
        <f t="shared" si="85"/>
        <v>-</v>
      </c>
    </row>
    <row r="87" spans="2:26" x14ac:dyDescent="0.35">
      <c r="B87" s="19">
        <v>84</v>
      </c>
      <c r="C87" s="33" t="s">
        <v>77</v>
      </c>
      <c r="D87" s="19" t="s">
        <v>56</v>
      </c>
      <c r="F87" s="19">
        <v>624</v>
      </c>
      <c r="G87" s="19">
        <v>1</v>
      </c>
      <c r="H87" s="19">
        <v>90</v>
      </c>
      <c r="I87" s="19">
        <v>1</v>
      </c>
      <c r="J87" s="19">
        <v>5000</v>
      </c>
      <c r="K87" s="19">
        <v>65</v>
      </c>
      <c r="L87" s="19">
        <v>1</v>
      </c>
      <c r="M87" s="19">
        <f>(164+181.5)-(151+132)</f>
        <v>62.5</v>
      </c>
      <c r="N87" s="26">
        <f t="shared" ref="N87" si="113">M87/2.2</f>
        <v>28.409090909090907</v>
      </c>
      <c r="O87" s="27">
        <f t="shared" ref="O87" si="114">N87/H87</f>
        <v>0.31565656565656564</v>
      </c>
      <c r="P87" s="19">
        <v>1</v>
      </c>
      <c r="R87" s="11" t="str">
        <f t="shared" si="108"/>
        <v/>
      </c>
      <c r="S87" s="11" t="str">
        <f t="shared" si="109"/>
        <v/>
      </c>
      <c r="T87" s="11" t="str">
        <f t="shared" si="110"/>
        <v/>
      </c>
      <c r="U87" s="82" t="str">
        <f t="shared" si="82"/>
        <v>-</v>
      </c>
      <c r="V87" s="82" t="str">
        <f t="shared" si="83"/>
        <v>-</v>
      </c>
      <c r="W87" s="82" t="str">
        <f t="shared" si="84"/>
        <v>-</v>
      </c>
      <c r="X87" s="19">
        <v>1471</v>
      </c>
      <c r="Z87" s="53" t="str">
        <f t="shared" si="85"/>
        <v>-</v>
      </c>
    </row>
    <row r="88" spans="2:26" x14ac:dyDescent="0.35">
      <c r="B88" s="19">
        <v>85</v>
      </c>
      <c r="C88" s="33" t="s">
        <v>77</v>
      </c>
      <c r="D88" s="19" t="s">
        <v>56</v>
      </c>
      <c r="F88" s="19">
        <v>624</v>
      </c>
      <c r="G88" s="19">
        <v>2</v>
      </c>
      <c r="H88" s="19">
        <v>120</v>
      </c>
      <c r="I88" s="19">
        <v>2</v>
      </c>
      <c r="J88" s="19">
        <v>5000</v>
      </c>
      <c r="K88" s="19">
        <v>65</v>
      </c>
      <c r="L88" s="19">
        <v>1</v>
      </c>
      <c r="M88" s="19">
        <f>(152+181.5+151+132)-(121+147+158.5+136.5)</f>
        <v>53.5</v>
      </c>
      <c r="N88" s="26">
        <f t="shared" ref="N88" si="115">M88/2.2</f>
        <v>24.318181818181817</v>
      </c>
      <c r="O88" s="27">
        <f t="shared" ref="O88" si="116">N88/H88</f>
        <v>0.20265151515151514</v>
      </c>
      <c r="P88" s="19">
        <v>1</v>
      </c>
      <c r="R88" s="11" t="str">
        <f t="shared" si="108"/>
        <v/>
      </c>
      <c r="S88" s="11" t="str">
        <f t="shared" si="109"/>
        <v/>
      </c>
      <c r="T88" s="11" t="str">
        <f t="shared" si="110"/>
        <v/>
      </c>
      <c r="U88" s="82" t="str">
        <f t="shared" si="82"/>
        <v>-</v>
      </c>
      <c r="V88" s="82" t="str">
        <f t="shared" si="83"/>
        <v>-</v>
      </c>
      <c r="W88" s="82" t="str">
        <f t="shared" si="84"/>
        <v>-</v>
      </c>
      <c r="X88" s="19">
        <v>1391</v>
      </c>
      <c r="Z88" s="53" t="str">
        <f t="shared" si="85"/>
        <v>-</v>
      </c>
    </row>
    <row r="89" spans="2:26" x14ac:dyDescent="0.35">
      <c r="B89" s="19">
        <v>86</v>
      </c>
      <c r="C89" s="32" t="s">
        <v>78</v>
      </c>
      <c r="D89" s="19" t="s">
        <v>56</v>
      </c>
      <c r="F89" s="19">
        <v>624</v>
      </c>
      <c r="G89" s="19">
        <v>5</v>
      </c>
      <c r="H89" s="19">
        <v>90</v>
      </c>
      <c r="I89" s="19">
        <v>1</v>
      </c>
      <c r="J89" s="19">
        <v>5000</v>
      </c>
      <c r="K89" s="19">
        <v>65</v>
      </c>
      <c r="L89" s="19">
        <v>1</v>
      </c>
      <c r="M89" s="19">
        <f>(178.5+172.5)-(145.5+162)</f>
        <v>43.5</v>
      </c>
      <c r="N89" s="26">
        <f t="shared" ref="N89:N90" si="117">M89/2.2</f>
        <v>19.77272727272727</v>
      </c>
      <c r="O89" s="27">
        <f t="shared" ref="O89:O90" si="118">N89/H89</f>
        <v>0.21969696969696967</v>
      </c>
      <c r="P89" s="19">
        <v>1</v>
      </c>
      <c r="R89" s="11" t="str">
        <f t="shared" si="108"/>
        <v/>
      </c>
      <c r="S89" s="11" t="str">
        <f t="shared" si="109"/>
        <v/>
      </c>
      <c r="T89" s="11" t="str">
        <f t="shared" si="110"/>
        <v/>
      </c>
      <c r="U89" s="82" t="str">
        <f t="shared" si="82"/>
        <v>-</v>
      </c>
      <c r="V89" s="82" t="str">
        <f t="shared" si="83"/>
        <v>-</v>
      </c>
      <c r="W89" s="82" t="str">
        <f t="shared" si="84"/>
        <v>-</v>
      </c>
      <c r="Z89" s="53" t="str">
        <f t="shared" si="85"/>
        <v>-</v>
      </c>
    </row>
    <row r="90" spans="2:26" x14ac:dyDescent="0.35">
      <c r="B90" s="19">
        <v>87</v>
      </c>
      <c r="C90" s="33" t="s">
        <v>78</v>
      </c>
      <c r="D90" s="19" t="s">
        <v>56</v>
      </c>
      <c r="F90" s="19">
        <v>624</v>
      </c>
      <c r="G90" s="19">
        <v>6</v>
      </c>
      <c r="H90" s="19">
        <v>90</v>
      </c>
      <c r="I90" s="19">
        <v>2</v>
      </c>
      <c r="J90" s="19">
        <v>5000</v>
      </c>
      <c r="K90" s="19">
        <v>65</v>
      </c>
      <c r="L90" s="19">
        <v>1</v>
      </c>
      <c r="M90" s="19">
        <f>(170+163+145.5+162)-(140+131+146.5+161.5)</f>
        <v>61.5</v>
      </c>
      <c r="N90" s="26">
        <f t="shared" si="117"/>
        <v>27.954545454545453</v>
      </c>
      <c r="O90" s="27">
        <f t="shared" si="118"/>
        <v>0.31060606060606061</v>
      </c>
      <c r="P90" s="19">
        <v>1</v>
      </c>
      <c r="R90" s="11" t="str">
        <f t="shared" si="108"/>
        <v/>
      </c>
      <c r="S90" s="11" t="str">
        <f t="shared" si="109"/>
        <v/>
      </c>
      <c r="T90" s="11" t="str">
        <f t="shared" si="110"/>
        <v/>
      </c>
      <c r="U90" s="82" t="str">
        <f t="shared" si="82"/>
        <v>-</v>
      </c>
      <c r="V90" s="82" t="str">
        <f t="shared" si="83"/>
        <v>-</v>
      </c>
      <c r="W90" s="82" t="str">
        <f t="shared" si="84"/>
        <v>-</v>
      </c>
      <c r="Z90" s="53" t="str">
        <f t="shared" si="85"/>
        <v>-</v>
      </c>
    </row>
    <row r="91" spans="2:26" x14ac:dyDescent="0.35">
      <c r="B91" s="19">
        <v>88</v>
      </c>
      <c r="C91" s="33" t="s">
        <v>79</v>
      </c>
      <c r="D91" s="19" t="s">
        <v>56</v>
      </c>
      <c r="F91" s="19">
        <v>624</v>
      </c>
      <c r="G91" s="19">
        <v>7</v>
      </c>
      <c r="H91" s="19">
        <v>90</v>
      </c>
      <c r="I91" s="19">
        <v>1</v>
      </c>
      <c r="J91" s="19">
        <v>5000</v>
      </c>
      <c r="K91" s="19">
        <v>65</v>
      </c>
      <c r="L91" s="19">
        <v>1</v>
      </c>
      <c r="M91" s="19">
        <f>(178+168.5)-(152+153)</f>
        <v>41.5</v>
      </c>
      <c r="N91" s="26">
        <f t="shared" ref="N91" si="119">M91/2.2</f>
        <v>18.863636363636363</v>
      </c>
      <c r="O91" s="27">
        <f t="shared" ref="O91" si="120">N91/H91</f>
        <v>0.20959595959595959</v>
      </c>
      <c r="P91" s="19">
        <v>1</v>
      </c>
      <c r="R91" s="11" t="str">
        <f t="shared" si="108"/>
        <v/>
      </c>
      <c r="S91" s="11" t="str">
        <f t="shared" si="109"/>
        <v/>
      </c>
      <c r="T91" s="11" t="str">
        <f t="shared" si="110"/>
        <v/>
      </c>
      <c r="U91" s="82" t="str">
        <f t="shared" si="82"/>
        <v>-</v>
      </c>
      <c r="V91" s="82" t="str">
        <f t="shared" si="83"/>
        <v>-</v>
      </c>
      <c r="W91" s="82" t="str">
        <f t="shared" si="84"/>
        <v>-</v>
      </c>
      <c r="X91" s="19">
        <v>501</v>
      </c>
      <c r="Z91" s="53" t="str">
        <f t="shared" si="85"/>
        <v>-</v>
      </c>
    </row>
    <row r="92" spans="2:26" x14ac:dyDescent="0.35">
      <c r="B92" s="19">
        <v>89</v>
      </c>
      <c r="C92" s="33" t="s">
        <v>79</v>
      </c>
      <c r="D92" s="19" t="s">
        <v>56</v>
      </c>
      <c r="F92" s="19">
        <v>624</v>
      </c>
      <c r="G92" s="19">
        <v>8</v>
      </c>
      <c r="H92" s="19">
        <v>90</v>
      </c>
      <c r="I92" s="19">
        <v>1</v>
      </c>
      <c r="J92" s="19">
        <v>5000</v>
      </c>
      <c r="K92" s="19">
        <v>65</v>
      </c>
      <c r="L92" s="19">
        <v>1</v>
      </c>
      <c r="M92" s="19">
        <f>(145+153+153+160.5)-(126.5+132.5+145+152.5)</f>
        <v>55</v>
      </c>
      <c r="N92" s="26">
        <f t="shared" ref="N92" si="121">M92/2.2</f>
        <v>24.999999999999996</v>
      </c>
      <c r="O92" s="27">
        <f t="shared" ref="O92" si="122">N92/H92</f>
        <v>0.27777777777777773</v>
      </c>
      <c r="R92" s="11" t="str">
        <f t="shared" si="108"/>
        <v/>
      </c>
      <c r="S92" s="11" t="str">
        <f t="shared" si="109"/>
        <v/>
      </c>
      <c r="T92" s="11" t="str">
        <f t="shared" si="110"/>
        <v/>
      </c>
      <c r="U92" s="82" t="str">
        <f t="shared" si="82"/>
        <v>-</v>
      </c>
      <c r="V92" s="82" t="str">
        <f t="shared" si="83"/>
        <v>-</v>
      </c>
      <c r="W92" s="82" t="str">
        <f t="shared" si="84"/>
        <v>-</v>
      </c>
      <c r="X92" s="19">
        <v>1456.5</v>
      </c>
      <c r="Z92" s="53" t="str">
        <f t="shared" si="85"/>
        <v>-</v>
      </c>
    </row>
    <row r="93" spans="2:26" x14ac:dyDescent="0.35">
      <c r="B93" s="19">
        <v>90</v>
      </c>
      <c r="C93" s="35">
        <v>43277</v>
      </c>
      <c r="D93" s="19" t="s">
        <v>80</v>
      </c>
      <c r="F93" s="19">
        <v>542</v>
      </c>
      <c r="G93" s="19">
        <v>3</v>
      </c>
      <c r="H93" s="19">
        <v>90</v>
      </c>
      <c r="I93" s="19">
        <v>1</v>
      </c>
      <c r="J93" s="19">
        <v>5000</v>
      </c>
      <c r="K93" s="19">
        <v>65</v>
      </c>
      <c r="L93" s="19">
        <v>1</v>
      </c>
      <c r="M93" s="19">
        <f>(168+170.5)-(136+141.5)</f>
        <v>61</v>
      </c>
      <c r="N93" s="26">
        <f t="shared" ref="N93:N97" si="123">M93/2.2</f>
        <v>27.727272727272727</v>
      </c>
      <c r="O93" s="27">
        <f t="shared" ref="O93:O97" si="124">N93/H93</f>
        <v>0.30808080808080807</v>
      </c>
      <c r="R93" s="11" t="str">
        <f t="shared" si="108"/>
        <v/>
      </c>
      <c r="S93" s="11" t="str">
        <f t="shared" si="109"/>
        <v/>
      </c>
      <c r="T93" s="11" t="str">
        <f t="shared" si="110"/>
        <v/>
      </c>
      <c r="U93" s="82" t="str">
        <f t="shared" si="82"/>
        <v>-</v>
      </c>
      <c r="V93" s="82" t="str">
        <f t="shared" si="83"/>
        <v>-</v>
      </c>
      <c r="W93" s="82" t="str">
        <f t="shared" si="84"/>
        <v>-</v>
      </c>
      <c r="Z93" s="53" t="str">
        <f t="shared" si="85"/>
        <v>-</v>
      </c>
    </row>
    <row r="94" spans="2:26" x14ac:dyDescent="0.35">
      <c r="B94" s="19">
        <v>91</v>
      </c>
      <c r="C94" s="33" t="s">
        <v>81</v>
      </c>
      <c r="D94" s="19" t="s">
        <v>63</v>
      </c>
      <c r="F94" s="19">
        <v>468</v>
      </c>
      <c r="G94" s="19">
        <v>1</v>
      </c>
      <c r="H94" s="19">
        <v>90</v>
      </c>
      <c r="I94" s="19">
        <v>1</v>
      </c>
      <c r="J94" s="19">
        <v>5000</v>
      </c>
      <c r="K94" s="19">
        <v>65</v>
      </c>
      <c r="L94" s="19">
        <v>1</v>
      </c>
      <c r="M94" s="19">
        <f>(167.5+160+149.5+151.5)-(142.5+126+149.5+151.5)</f>
        <v>59</v>
      </c>
      <c r="N94" s="26">
        <f t="shared" si="123"/>
        <v>26.818181818181817</v>
      </c>
      <c r="O94" s="27">
        <f t="shared" si="124"/>
        <v>0.29797979797979796</v>
      </c>
      <c r="R94" s="11" t="str">
        <f t="shared" si="108"/>
        <v/>
      </c>
      <c r="S94" s="11" t="str">
        <f t="shared" si="109"/>
        <v/>
      </c>
      <c r="T94" s="11" t="str">
        <f t="shared" si="110"/>
        <v/>
      </c>
      <c r="U94" s="82" t="str">
        <f t="shared" si="82"/>
        <v>-</v>
      </c>
      <c r="V94" s="82" t="str">
        <f t="shared" si="83"/>
        <v>-</v>
      </c>
      <c r="W94" s="82" t="str">
        <f t="shared" si="84"/>
        <v>-</v>
      </c>
      <c r="Z94" s="53" t="str">
        <f t="shared" si="85"/>
        <v>-</v>
      </c>
    </row>
    <row r="95" spans="2:26" x14ac:dyDescent="0.35">
      <c r="B95" s="19">
        <v>92</v>
      </c>
      <c r="C95" s="33" t="s">
        <v>81</v>
      </c>
      <c r="D95" s="19" t="s">
        <v>63</v>
      </c>
      <c r="F95" s="19">
        <v>468</v>
      </c>
      <c r="G95" s="19">
        <v>2</v>
      </c>
      <c r="H95" s="19">
        <v>90</v>
      </c>
      <c r="I95" s="19">
        <v>2</v>
      </c>
      <c r="J95" s="19">
        <v>5000</v>
      </c>
      <c r="K95" s="19">
        <v>65</v>
      </c>
      <c r="L95" s="19">
        <v>1</v>
      </c>
      <c r="M95" s="19">
        <f>(163.5+171)-(134+138.5)</f>
        <v>62</v>
      </c>
      <c r="N95" s="26">
        <f t="shared" si="123"/>
        <v>28.18181818181818</v>
      </c>
      <c r="O95" s="27">
        <f t="shared" si="124"/>
        <v>0.31313131313131309</v>
      </c>
      <c r="R95" s="11" t="str">
        <f t="shared" si="108"/>
        <v/>
      </c>
      <c r="S95" s="11" t="str">
        <f t="shared" si="109"/>
        <v/>
      </c>
      <c r="T95" s="11" t="str">
        <f t="shared" si="110"/>
        <v/>
      </c>
      <c r="U95" s="82" t="str">
        <f t="shared" si="82"/>
        <v>-</v>
      </c>
      <c r="V95" s="82" t="str">
        <f t="shared" si="83"/>
        <v>-</v>
      </c>
      <c r="W95" s="82" t="str">
        <f t="shared" si="84"/>
        <v>-</v>
      </c>
      <c r="Z95" s="53" t="str">
        <f t="shared" si="85"/>
        <v>-</v>
      </c>
    </row>
    <row r="96" spans="2:26" x14ac:dyDescent="0.35">
      <c r="B96" s="19">
        <v>93</v>
      </c>
      <c r="C96" s="33" t="s">
        <v>82</v>
      </c>
      <c r="D96" s="19" t="s">
        <v>83</v>
      </c>
      <c r="F96" s="19">
        <v>544</v>
      </c>
      <c r="G96" s="19">
        <v>3</v>
      </c>
      <c r="H96" s="19">
        <v>90</v>
      </c>
      <c r="I96" s="19">
        <v>1</v>
      </c>
      <c r="J96" s="19">
        <v>5000</v>
      </c>
      <c r="K96" s="19">
        <v>65</v>
      </c>
      <c r="L96" s="19">
        <v>1</v>
      </c>
      <c r="M96" s="19">
        <f>(168.5+162.5)-(129+135)</f>
        <v>67</v>
      </c>
      <c r="N96" s="26">
        <f t="shared" si="123"/>
        <v>30.454545454545453</v>
      </c>
      <c r="O96" s="27">
        <f t="shared" si="124"/>
        <v>0.33838383838383834</v>
      </c>
      <c r="R96" s="11" t="str">
        <f t="shared" si="108"/>
        <v/>
      </c>
      <c r="S96" s="11" t="str">
        <f t="shared" si="109"/>
        <v/>
      </c>
      <c r="T96" s="11" t="str">
        <f t="shared" si="110"/>
        <v/>
      </c>
      <c r="U96" s="82" t="str">
        <f t="shared" si="82"/>
        <v>-</v>
      </c>
      <c r="V96" s="82" t="str">
        <f t="shared" si="83"/>
        <v>-</v>
      </c>
      <c r="W96" s="82" t="str">
        <f t="shared" si="84"/>
        <v>-</v>
      </c>
      <c r="Z96" s="53" t="str">
        <f t="shared" si="85"/>
        <v>-</v>
      </c>
    </row>
    <row r="97" spans="1:40" x14ac:dyDescent="0.35">
      <c r="B97" s="19">
        <v>94</v>
      </c>
      <c r="C97" s="33" t="s">
        <v>84</v>
      </c>
      <c r="D97" s="19" t="s">
        <v>80</v>
      </c>
      <c r="F97" s="19">
        <v>544</v>
      </c>
      <c r="G97" s="19">
        <v>6</v>
      </c>
      <c r="H97" s="19">
        <v>130</v>
      </c>
      <c r="I97" s="19">
        <v>1</v>
      </c>
      <c r="J97" s="19">
        <v>5000</v>
      </c>
      <c r="K97" s="19">
        <v>65</v>
      </c>
      <c r="L97" s="19">
        <v>1</v>
      </c>
      <c r="M97" s="19">
        <f>(147+178.5+160+175)-(155+169.5)+(173.5+180.5)-(158+174.5+134+169)</f>
        <v>54.5</v>
      </c>
      <c r="N97" s="26">
        <f t="shared" si="123"/>
        <v>24.77272727272727</v>
      </c>
      <c r="O97" s="27">
        <f t="shared" si="124"/>
        <v>0.19055944055944055</v>
      </c>
      <c r="Q97" s="19" t="s">
        <v>85</v>
      </c>
      <c r="R97" s="11" t="str">
        <f t="shared" si="108"/>
        <v/>
      </c>
      <c r="S97" s="11" t="str">
        <f t="shared" si="109"/>
        <v/>
      </c>
      <c r="T97" s="11" t="str">
        <f t="shared" si="110"/>
        <v/>
      </c>
      <c r="U97" s="82" t="str">
        <f t="shared" si="82"/>
        <v>-</v>
      </c>
      <c r="V97" s="82" t="str">
        <f t="shared" si="83"/>
        <v>-</v>
      </c>
      <c r="W97" s="82" t="str">
        <f t="shared" si="84"/>
        <v>-</v>
      </c>
      <c r="Z97" s="53" t="str">
        <f t="shared" si="85"/>
        <v>-</v>
      </c>
      <c r="AA97" s="18" t="s">
        <v>86</v>
      </c>
      <c r="AH97" s="18" t="s">
        <v>86</v>
      </c>
    </row>
    <row r="98" spans="1:40" ht="15" thickBot="1" x14ac:dyDescent="0.4">
      <c r="B98" s="19">
        <v>94</v>
      </c>
      <c r="C98" s="35">
        <v>43287</v>
      </c>
      <c r="D98" s="19" t="s">
        <v>80</v>
      </c>
      <c r="F98" s="19">
        <v>544</v>
      </c>
      <c r="G98" s="19">
        <v>7</v>
      </c>
      <c r="H98" s="19">
        <v>130</v>
      </c>
      <c r="I98" s="19">
        <v>2</v>
      </c>
      <c r="J98" s="19">
        <v>5000</v>
      </c>
      <c r="K98" s="19">
        <v>65</v>
      </c>
      <c r="L98" s="19">
        <v>1</v>
      </c>
      <c r="M98" s="19">
        <f>(158+174.5+134+169)-(143.5+158.5+124+160)</f>
        <v>49.5</v>
      </c>
      <c r="N98" s="26">
        <f t="shared" ref="N98:N99" si="125">M98/2.2</f>
        <v>22.499999999999996</v>
      </c>
      <c r="O98" s="27">
        <f t="shared" ref="O98:O99" si="126">N98/H98</f>
        <v>0.17307692307692304</v>
      </c>
      <c r="R98" s="11" t="str">
        <f t="shared" si="108"/>
        <v/>
      </c>
      <c r="S98" s="11" t="str">
        <f t="shared" si="109"/>
        <v/>
      </c>
      <c r="T98" s="11" t="str">
        <f t="shared" si="110"/>
        <v/>
      </c>
      <c r="U98" s="82" t="str">
        <f t="shared" si="82"/>
        <v>-</v>
      </c>
      <c r="V98" s="82" t="str">
        <f t="shared" si="83"/>
        <v>-</v>
      </c>
      <c r="W98" s="82" t="str">
        <f t="shared" si="84"/>
        <v>-</v>
      </c>
      <c r="Z98" s="53" t="str">
        <f t="shared" si="85"/>
        <v>-</v>
      </c>
    </row>
    <row r="99" spans="1:40" s="192" customFormat="1" ht="15" thickBot="1" x14ac:dyDescent="0.4">
      <c r="A99" s="191"/>
      <c r="B99" s="192">
        <v>95</v>
      </c>
      <c r="C99" s="193" t="s">
        <v>87</v>
      </c>
      <c r="D99" s="192" t="s">
        <v>88</v>
      </c>
      <c r="F99" s="192">
        <v>776</v>
      </c>
      <c r="G99" s="192">
        <v>3</v>
      </c>
      <c r="H99" s="192">
        <v>120</v>
      </c>
      <c r="I99" s="192">
        <v>1</v>
      </c>
      <c r="J99" s="192">
        <v>5000</v>
      </c>
      <c r="K99" s="192">
        <v>65</v>
      </c>
      <c r="L99" s="192">
        <v>1</v>
      </c>
      <c r="M99" s="192">
        <f>(165.5+162)-(132.5+127)</f>
        <v>68</v>
      </c>
      <c r="N99" s="194">
        <f t="shared" si="125"/>
        <v>30.909090909090907</v>
      </c>
      <c r="O99" s="195">
        <f t="shared" si="126"/>
        <v>0.25757575757575757</v>
      </c>
      <c r="P99" s="192">
        <v>1</v>
      </c>
      <c r="R99" s="192">
        <f t="shared" si="108"/>
        <v>1.1539592000754826</v>
      </c>
      <c r="S99" s="192">
        <f t="shared" si="109"/>
        <v>0.54467592103096252</v>
      </c>
      <c r="T99" s="192">
        <f t="shared" si="110"/>
        <v>25.783554642177339</v>
      </c>
      <c r="U99" s="196">
        <f t="shared" si="82"/>
        <v>0.96430532674354752</v>
      </c>
      <c r="V99" s="196">
        <f t="shared" si="83"/>
        <v>0.97446863659927418</v>
      </c>
      <c r="W99" s="196">
        <f t="shared" si="84"/>
        <v>0.9570552147239263</v>
      </c>
      <c r="X99" s="192">
        <v>1618</v>
      </c>
      <c r="Y99" s="192">
        <v>1373</v>
      </c>
      <c r="Z99" s="197">
        <f t="shared" si="85"/>
        <v>0.15142150803461063</v>
      </c>
      <c r="AA99" s="198"/>
      <c r="AB99" s="195">
        <v>0.13</v>
      </c>
      <c r="AC99" s="192">
        <v>0.19700000000000001</v>
      </c>
      <c r="AD99" s="199">
        <v>7.0000000000000001E-3</v>
      </c>
      <c r="AE99" s="198">
        <f t="shared" ref="AE99:AE123" si="127">IF(AB99,AB99/(1-$AA99),"-")</f>
        <v>0.13</v>
      </c>
      <c r="AF99" s="192">
        <f t="shared" ref="AF99:AF123" si="128">IF(AC99,AC99/(1-$AA99),"-")</f>
        <v>0.19700000000000001</v>
      </c>
      <c r="AG99" s="199">
        <f t="shared" ref="AG99:AG123" si="129">IF(AD99,AD99/(1-$AA99),"-")</f>
        <v>7.0000000000000001E-3</v>
      </c>
      <c r="AH99" s="198">
        <v>8.0399999999999999E-2</v>
      </c>
      <c r="AI99" s="192">
        <v>3.6419999999999999</v>
      </c>
      <c r="AJ99" s="192">
        <v>7.7160000000000002</v>
      </c>
      <c r="AK99" s="199">
        <v>0.16300000000000001</v>
      </c>
      <c r="AL99" s="198">
        <f>IF(AI99,AI99/(1-$AH99),"-")</f>
        <v>3.9604175728577644</v>
      </c>
      <c r="AM99" s="192">
        <f>IF(AJ99,AJ99/(1-$AH99),"-")</f>
        <v>8.3906046107003043</v>
      </c>
      <c r="AN99" s="199">
        <f>IF(AK99,AK99/(1-$AH99),"-")</f>
        <v>0.1772509786863854</v>
      </c>
    </row>
    <row r="100" spans="1:40" s="155" customFormat="1" x14ac:dyDescent="0.35">
      <c r="A100" s="154"/>
      <c r="B100" s="155">
        <v>96</v>
      </c>
      <c r="C100" s="156" t="s">
        <v>89</v>
      </c>
      <c r="D100" s="155" t="s">
        <v>90</v>
      </c>
      <c r="F100" s="155">
        <v>784</v>
      </c>
      <c r="G100" s="155">
        <v>1</v>
      </c>
      <c r="H100" s="155">
        <v>120</v>
      </c>
      <c r="I100" s="155">
        <v>1</v>
      </c>
      <c r="J100" s="155">
        <v>5000</v>
      </c>
      <c r="K100" s="155">
        <v>65</v>
      </c>
      <c r="L100" s="155">
        <v>1</v>
      </c>
      <c r="M100" s="155">
        <f>(148.5+174+178.5+166)-(127.5+172+154+141.5)</f>
        <v>72</v>
      </c>
      <c r="N100" s="185">
        <f t="shared" ref="N100" si="130">M100/2.2</f>
        <v>32.727272727272727</v>
      </c>
      <c r="O100" s="179">
        <f t="shared" ref="O100" si="131">N100/H100</f>
        <v>0.27272727272727271</v>
      </c>
      <c r="R100" s="155">
        <f t="shared" si="108"/>
        <v>0.27408267384093293</v>
      </c>
      <c r="S100" s="155">
        <f t="shared" si="109"/>
        <v>116.31476066622511</v>
      </c>
      <c r="T100" s="155">
        <f t="shared" si="110"/>
        <v>40.600435326889894</v>
      </c>
      <c r="U100" s="157">
        <f t="shared" si="82"/>
        <v>0.87141765380206337</v>
      </c>
      <c r="V100" s="157">
        <f t="shared" si="83"/>
        <v>1</v>
      </c>
      <c r="W100" s="157">
        <f t="shared" si="84"/>
        <v>0.84905660377358494</v>
      </c>
      <c r="X100" s="155">
        <v>1673</v>
      </c>
      <c r="Y100" s="155">
        <v>1374</v>
      </c>
      <c r="Z100" s="158">
        <f t="shared" si="85"/>
        <v>0.17872086072922888</v>
      </c>
      <c r="AA100" s="159"/>
      <c r="AB100" s="155">
        <v>2.0190000000000001</v>
      </c>
      <c r="AC100" s="155">
        <v>0</v>
      </c>
      <c r="AD100" s="160">
        <v>1.6E-2</v>
      </c>
      <c r="AE100" s="159">
        <f t="shared" si="127"/>
        <v>2.0190000000000001</v>
      </c>
      <c r="AF100" s="155" t="str">
        <f t="shared" si="128"/>
        <v>-</v>
      </c>
      <c r="AG100" s="160">
        <f t="shared" si="129"/>
        <v>1.6E-2</v>
      </c>
      <c r="AH100" s="159"/>
      <c r="AI100" s="155">
        <v>15.702</v>
      </c>
      <c r="AJ100" s="155">
        <v>3.6999999999999998E-2</v>
      </c>
      <c r="AK100" s="155">
        <v>0.106</v>
      </c>
      <c r="AL100" s="155">
        <f t="shared" ref="AL100:AL152" si="132">IF(AI100,AI100/(1-$AH100),"-")</f>
        <v>15.702</v>
      </c>
      <c r="AM100" s="155">
        <f t="shared" ref="AM100:AM152" si="133">IF(AJ100,AJ100/(1-$AH100),"-")</f>
        <v>3.6999999999999998E-2</v>
      </c>
      <c r="AN100" s="160">
        <f t="shared" ref="AN100:AN152" si="134">IF(AK100,AK100/(1-$AH100),"-")</f>
        <v>0.106</v>
      </c>
    </row>
    <row r="101" spans="1:40" s="17" customFormat="1" x14ac:dyDescent="0.35">
      <c r="A101" s="161"/>
      <c r="B101" s="17">
        <v>97</v>
      </c>
      <c r="C101" s="38" t="s">
        <v>89</v>
      </c>
      <c r="D101" s="17" t="s">
        <v>90</v>
      </c>
      <c r="F101" s="17">
        <v>784</v>
      </c>
      <c r="G101" s="17">
        <v>3</v>
      </c>
      <c r="H101" s="17">
        <v>120</v>
      </c>
      <c r="I101" s="17">
        <v>1</v>
      </c>
      <c r="J101" s="17">
        <v>5000</v>
      </c>
      <c r="K101" s="17">
        <v>65</v>
      </c>
      <c r="L101" s="17">
        <v>1</v>
      </c>
      <c r="M101" s="17">
        <f>(137.5+153.5+163.5+175.5)-(118.5+134+132.5+172.5)</f>
        <v>72.5</v>
      </c>
      <c r="N101" s="39">
        <f t="shared" ref="N101:N110" si="135">M101/2.2</f>
        <v>32.954545454545453</v>
      </c>
      <c r="O101" s="40">
        <f t="shared" ref="O101:O110" si="136">N101/H101</f>
        <v>0.2746212121212121</v>
      </c>
      <c r="R101" s="17">
        <f t="shared" si="108"/>
        <v>0.25348592976523743</v>
      </c>
      <c r="S101" s="17">
        <f t="shared" si="109"/>
        <v>107.57394781550697</v>
      </c>
      <c r="T101" s="17">
        <f t="shared" si="110"/>
        <v>37.549396878997719</v>
      </c>
      <c r="U101" s="91">
        <f t="shared" si="82"/>
        <v>0.96580053496369889</v>
      </c>
      <c r="V101" s="91">
        <f t="shared" si="83"/>
        <v>1</v>
      </c>
      <c r="W101" s="91">
        <f t="shared" si="84"/>
        <v>1</v>
      </c>
      <c r="X101" s="17">
        <v>1821.5</v>
      </c>
      <c r="Y101" s="17">
        <v>1470.5</v>
      </c>
      <c r="Z101" s="93">
        <f t="shared" si="85"/>
        <v>0.19269832555586053</v>
      </c>
      <c r="AA101" s="16"/>
      <c r="AB101" s="17">
        <v>0.53700000000000003</v>
      </c>
      <c r="AC101" s="17">
        <v>0</v>
      </c>
      <c r="AD101" s="21">
        <v>0</v>
      </c>
      <c r="AE101" s="16">
        <f t="shared" si="127"/>
        <v>0.53700000000000003</v>
      </c>
      <c r="AF101" s="17" t="str">
        <f t="shared" si="128"/>
        <v>-</v>
      </c>
      <c r="AG101" s="21" t="str">
        <f t="shared" si="129"/>
        <v>-</v>
      </c>
      <c r="AH101" s="16"/>
      <c r="AI101" s="17">
        <v>15.702</v>
      </c>
      <c r="AJ101" s="17">
        <v>3.6999999999999998E-2</v>
      </c>
      <c r="AK101" s="17">
        <v>0.106</v>
      </c>
      <c r="AL101" s="17">
        <f t="shared" si="132"/>
        <v>15.702</v>
      </c>
      <c r="AM101" s="17">
        <f t="shared" si="133"/>
        <v>3.6999999999999998E-2</v>
      </c>
      <c r="AN101" s="21">
        <f t="shared" si="134"/>
        <v>0.106</v>
      </c>
    </row>
    <row r="102" spans="1:40" s="163" customFormat="1" ht="15" thickBot="1" x14ac:dyDescent="0.4">
      <c r="A102" s="162"/>
      <c r="B102" s="163">
        <v>99</v>
      </c>
      <c r="C102" s="164" t="s">
        <v>91</v>
      </c>
      <c r="D102" s="163" t="s">
        <v>90</v>
      </c>
      <c r="F102" s="163">
        <v>784</v>
      </c>
      <c r="G102" s="163">
        <v>6</v>
      </c>
      <c r="H102" s="163">
        <v>120</v>
      </c>
      <c r="I102" s="163">
        <v>2</v>
      </c>
      <c r="J102" s="163">
        <v>5000</v>
      </c>
      <c r="K102" s="163">
        <v>65</v>
      </c>
      <c r="L102" s="163">
        <v>1</v>
      </c>
      <c r="M102" s="163">
        <f>(125+132.5+136+159+166.5+167.5)-(156.5+138+119.5+127+141+141.5)</f>
        <v>63</v>
      </c>
      <c r="N102" s="187">
        <f t="shared" si="135"/>
        <v>28.636363636363633</v>
      </c>
      <c r="O102" s="180">
        <f t="shared" si="136"/>
        <v>0.23863636363636362</v>
      </c>
      <c r="R102" s="163">
        <f t="shared" si="108"/>
        <v>0.25226203971637579</v>
      </c>
      <c r="S102" s="163">
        <f t="shared" si="109"/>
        <v>107.05455534125763</v>
      </c>
      <c r="T102" s="163">
        <f t="shared" si="110"/>
        <v>37.368099505910685</v>
      </c>
      <c r="U102" s="165">
        <f t="shared" si="82"/>
        <v>0.9095019742707936</v>
      </c>
      <c r="V102" s="165">
        <f t="shared" si="83"/>
        <v>1</v>
      </c>
      <c r="W102" s="165">
        <f t="shared" si="84"/>
        <v>1</v>
      </c>
      <c r="X102" s="163">
        <v>1590.5</v>
      </c>
      <c r="Y102" s="163">
        <v>1292</v>
      </c>
      <c r="Z102" s="166">
        <f t="shared" si="85"/>
        <v>0.18767683118516187</v>
      </c>
      <c r="AA102" s="167"/>
      <c r="AB102" s="163">
        <v>1.421</v>
      </c>
      <c r="AC102" s="163">
        <v>0</v>
      </c>
      <c r="AD102" s="168">
        <v>0</v>
      </c>
      <c r="AE102" s="167">
        <f t="shared" si="127"/>
        <v>1.421</v>
      </c>
      <c r="AF102" s="163" t="str">
        <f t="shared" si="128"/>
        <v>-</v>
      </c>
      <c r="AG102" s="168" t="str">
        <f t="shared" si="129"/>
        <v>-</v>
      </c>
      <c r="AH102" s="167"/>
      <c r="AI102" s="163">
        <v>15.702</v>
      </c>
      <c r="AJ102" s="163">
        <v>3.6999999999999998E-2</v>
      </c>
      <c r="AK102" s="163">
        <v>0.106</v>
      </c>
      <c r="AL102" s="163">
        <f t="shared" si="132"/>
        <v>15.702</v>
      </c>
      <c r="AM102" s="163">
        <f t="shared" si="133"/>
        <v>3.6999999999999998E-2</v>
      </c>
      <c r="AN102" s="168">
        <f t="shared" si="134"/>
        <v>0.106</v>
      </c>
    </row>
    <row r="103" spans="1:40" s="138" customFormat="1" x14ac:dyDescent="0.35">
      <c r="A103" s="135"/>
      <c r="B103" s="138">
        <v>101</v>
      </c>
      <c r="C103" s="177" t="s">
        <v>92</v>
      </c>
      <c r="D103" s="138" t="s">
        <v>43</v>
      </c>
      <c r="E103" s="138">
        <v>1</v>
      </c>
      <c r="F103" s="138">
        <v>804</v>
      </c>
      <c r="G103" s="138">
        <v>1</v>
      </c>
      <c r="H103" s="138">
        <v>130</v>
      </c>
      <c r="I103" s="138">
        <v>1</v>
      </c>
      <c r="J103" s="138">
        <v>5000</v>
      </c>
      <c r="K103" s="138">
        <v>65</v>
      </c>
      <c r="L103" s="138">
        <v>1</v>
      </c>
      <c r="M103" s="138">
        <f>(135+171.5+167+187+158+174.5)-(126+171+158.5+175.5+140+158.5)</f>
        <v>63.5</v>
      </c>
      <c r="N103" s="183">
        <f t="shared" si="135"/>
        <v>28.86363636363636</v>
      </c>
      <c r="O103" s="184">
        <f t="shared" si="136"/>
        <v>0.222027972027972</v>
      </c>
      <c r="R103" s="138">
        <f t="shared" si="108"/>
        <v>9.8068437870169731</v>
      </c>
      <c r="S103" s="138">
        <f t="shared" si="109"/>
        <v>0.35100225238421728</v>
      </c>
      <c r="T103" s="138" t="str">
        <f t="shared" si="110"/>
        <v/>
      </c>
      <c r="U103" s="139">
        <f t="shared" si="82"/>
        <v>0.96473551637279598</v>
      </c>
      <c r="V103" s="139">
        <f t="shared" si="83"/>
        <v>0.97872340425531912</v>
      </c>
      <c r="W103" s="139" t="e">
        <f t="shared" si="84"/>
        <v>#DIV/0!</v>
      </c>
      <c r="X103" s="138">
        <v>1631</v>
      </c>
      <c r="Y103" s="138">
        <v>1335.5</v>
      </c>
      <c r="Z103" s="140">
        <f t="shared" si="85"/>
        <v>0.18117719190680559</v>
      </c>
      <c r="AA103" s="143"/>
      <c r="AB103" s="138">
        <v>1.4E-2</v>
      </c>
      <c r="AC103" s="138">
        <v>0.23599999999999999</v>
      </c>
      <c r="AD103" s="142">
        <v>0</v>
      </c>
      <c r="AE103" s="143">
        <f t="shared" si="127"/>
        <v>1.4E-2</v>
      </c>
      <c r="AF103" s="138">
        <f t="shared" si="128"/>
        <v>0.23599999999999999</v>
      </c>
      <c r="AG103" s="142" t="str">
        <f t="shared" si="129"/>
        <v>-</v>
      </c>
      <c r="AH103" s="143"/>
      <c r="AI103" s="138">
        <v>0.39700000000000002</v>
      </c>
      <c r="AJ103" s="138">
        <v>11.092000000000001</v>
      </c>
      <c r="AK103" s="138">
        <v>0</v>
      </c>
      <c r="AL103" s="138">
        <f t="shared" si="132"/>
        <v>0.39700000000000002</v>
      </c>
      <c r="AM103" s="138">
        <f t="shared" si="133"/>
        <v>11.092000000000001</v>
      </c>
      <c r="AN103" s="142" t="str">
        <f t="shared" si="134"/>
        <v>-</v>
      </c>
    </row>
    <row r="104" spans="1:40" s="11" customFormat="1" x14ac:dyDescent="0.35">
      <c r="A104" s="144"/>
      <c r="B104" s="11">
        <v>102</v>
      </c>
      <c r="C104" s="41" t="s">
        <v>93</v>
      </c>
      <c r="D104" s="11" t="s">
        <v>43</v>
      </c>
      <c r="E104" s="11">
        <v>1</v>
      </c>
      <c r="F104" s="11">
        <v>804</v>
      </c>
      <c r="G104" s="11">
        <v>2</v>
      </c>
      <c r="H104" s="11">
        <v>140</v>
      </c>
      <c r="I104" s="11">
        <v>2</v>
      </c>
      <c r="J104" s="11">
        <v>5000</v>
      </c>
      <c r="K104" s="11">
        <v>65</v>
      </c>
      <c r="L104" s="11">
        <v>1</v>
      </c>
      <c r="M104" s="11">
        <f>(159+176+164.5+181)-(134+149.5+150+166)</f>
        <v>81</v>
      </c>
      <c r="N104" s="42">
        <f t="shared" si="135"/>
        <v>36.818181818181813</v>
      </c>
      <c r="O104" s="43">
        <f t="shared" si="136"/>
        <v>0.26298701298701294</v>
      </c>
      <c r="R104" s="11">
        <f t="shared" si="108"/>
        <v>12.065655038453688</v>
      </c>
      <c r="S104" s="11">
        <f t="shared" si="109"/>
        <v>0.43184863417473085</v>
      </c>
      <c r="T104" s="11" t="str">
        <f t="shared" si="110"/>
        <v/>
      </c>
      <c r="U104" s="55">
        <f t="shared" si="82"/>
        <v>0.95465994962216616</v>
      </c>
      <c r="V104" s="55">
        <f t="shared" si="83"/>
        <v>0.98278038225748277</v>
      </c>
      <c r="W104" s="55" t="e">
        <f t="shared" si="84"/>
        <v>#DIV/0!</v>
      </c>
      <c r="X104" s="11">
        <v>1691</v>
      </c>
      <c r="Y104" s="11">
        <v>1376.5</v>
      </c>
      <c r="Z104" s="87">
        <f t="shared" si="85"/>
        <v>0.18598462448255471</v>
      </c>
      <c r="AA104" s="10"/>
      <c r="AB104" s="11">
        <v>1.7999999999999999E-2</v>
      </c>
      <c r="AC104" s="11">
        <v>0.191</v>
      </c>
      <c r="AD104" s="88">
        <v>0</v>
      </c>
      <c r="AE104" s="10">
        <f t="shared" si="127"/>
        <v>1.7999999999999999E-2</v>
      </c>
      <c r="AF104" s="11">
        <f t="shared" si="128"/>
        <v>0.191</v>
      </c>
      <c r="AG104" s="88" t="str">
        <f t="shared" si="129"/>
        <v>-</v>
      </c>
      <c r="AH104" s="10"/>
      <c r="AI104" s="11">
        <v>0.39700000000000002</v>
      </c>
      <c r="AJ104" s="11">
        <v>11.092000000000001</v>
      </c>
      <c r="AK104" s="11">
        <v>0</v>
      </c>
      <c r="AL104" s="11">
        <f t="shared" si="132"/>
        <v>0.39700000000000002</v>
      </c>
      <c r="AM104" s="11">
        <f t="shared" si="133"/>
        <v>11.092000000000001</v>
      </c>
      <c r="AN104" s="88" t="str">
        <f t="shared" si="134"/>
        <v>-</v>
      </c>
    </row>
    <row r="105" spans="1:40" s="148" customFormat="1" ht="15" thickBot="1" x14ac:dyDescent="0.4">
      <c r="A105" s="145"/>
      <c r="B105" s="148">
        <v>103</v>
      </c>
      <c r="C105" s="178" t="s">
        <v>93</v>
      </c>
      <c r="D105" s="148" t="s">
        <v>43</v>
      </c>
      <c r="E105" s="148">
        <v>1</v>
      </c>
      <c r="F105" s="148">
        <v>804</v>
      </c>
      <c r="G105" s="148">
        <v>3</v>
      </c>
      <c r="H105" s="148">
        <v>140</v>
      </c>
      <c r="I105" s="148">
        <v>1</v>
      </c>
      <c r="J105" s="148">
        <v>5000</v>
      </c>
      <c r="K105" s="148">
        <v>65</v>
      </c>
      <c r="L105" s="148">
        <v>1</v>
      </c>
      <c r="M105" s="148">
        <f>(165.5+150+160+157)-(136+134+137.5+152.5)</f>
        <v>72.5</v>
      </c>
      <c r="N105" s="189">
        <f t="shared" si="135"/>
        <v>32.954545454545453</v>
      </c>
      <c r="O105" s="190">
        <f t="shared" si="136"/>
        <v>0.23538961038961037</v>
      </c>
      <c r="R105" s="148">
        <f t="shared" si="108"/>
        <v>10.745492636373269</v>
      </c>
      <c r="S105" s="148">
        <f t="shared" si="109"/>
        <v>0.38459796038948685</v>
      </c>
      <c r="T105" s="148" t="str">
        <f t="shared" si="110"/>
        <v/>
      </c>
      <c r="U105" s="149">
        <f t="shared" si="82"/>
        <v>0.95465994962216616</v>
      </c>
      <c r="V105" s="149">
        <f t="shared" si="83"/>
        <v>0.97881355932203395</v>
      </c>
      <c r="W105" s="149" t="e">
        <f t="shared" si="84"/>
        <v>#DIV/0!</v>
      </c>
      <c r="X105" s="148">
        <v>1699.5</v>
      </c>
      <c r="Y105" s="148">
        <v>1376.5</v>
      </c>
      <c r="Z105" s="150">
        <f t="shared" si="85"/>
        <v>0.19005589879376283</v>
      </c>
      <c r="AA105" s="153"/>
      <c r="AB105" s="148">
        <v>1.7999999999999999E-2</v>
      </c>
      <c r="AC105" s="148">
        <v>0.23499999999999999</v>
      </c>
      <c r="AD105" s="152">
        <v>0</v>
      </c>
      <c r="AE105" s="153">
        <f t="shared" si="127"/>
        <v>1.7999999999999999E-2</v>
      </c>
      <c r="AF105" s="148">
        <f t="shared" si="128"/>
        <v>0.23499999999999999</v>
      </c>
      <c r="AG105" s="152" t="str">
        <f t="shared" si="129"/>
        <v>-</v>
      </c>
      <c r="AH105" s="153"/>
      <c r="AI105" s="148">
        <v>0.39700000000000002</v>
      </c>
      <c r="AJ105" s="148">
        <v>11.092000000000001</v>
      </c>
      <c r="AK105" s="148">
        <v>0</v>
      </c>
      <c r="AL105" s="148">
        <f t="shared" si="132"/>
        <v>0.39700000000000002</v>
      </c>
      <c r="AM105" s="148">
        <f t="shared" si="133"/>
        <v>11.092000000000001</v>
      </c>
      <c r="AN105" s="152" t="str">
        <f t="shared" si="134"/>
        <v>-</v>
      </c>
    </row>
    <row r="106" spans="1:40" s="138" customFormat="1" x14ac:dyDescent="0.35">
      <c r="A106" s="135"/>
      <c r="B106" s="138">
        <v>105</v>
      </c>
      <c r="C106" s="177" t="s">
        <v>95</v>
      </c>
      <c r="D106" s="138" t="s">
        <v>43</v>
      </c>
      <c r="E106" s="138">
        <v>1</v>
      </c>
      <c r="F106" s="138">
        <v>805</v>
      </c>
      <c r="G106" s="138">
        <v>1</v>
      </c>
      <c r="H106" s="138">
        <v>140</v>
      </c>
      <c r="I106" s="138">
        <v>1</v>
      </c>
      <c r="J106" s="138">
        <v>5000</v>
      </c>
      <c r="K106" s="138">
        <v>65</v>
      </c>
      <c r="L106" s="138">
        <v>1</v>
      </c>
      <c r="M106" s="138">
        <f>(152+161.5+181.5+174)-(153.5+160.5+148+139)</f>
        <v>68</v>
      </c>
      <c r="N106" s="183">
        <f t="shared" si="135"/>
        <v>30.909090909090907</v>
      </c>
      <c r="O106" s="184">
        <f t="shared" si="136"/>
        <v>0.22077922077922077</v>
      </c>
      <c r="P106" s="138">
        <v>1</v>
      </c>
      <c r="R106" s="138">
        <f t="shared" si="108"/>
        <v>11.007154650522839</v>
      </c>
      <c r="S106" s="138">
        <f t="shared" si="109"/>
        <v>0.49236900450228011</v>
      </c>
      <c r="T106" s="138" t="str">
        <f t="shared" si="110"/>
        <v/>
      </c>
      <c r="U106" s="139">
        <f t="shared" si="82"/>
        <v>0.89002557544757033</v>
      </c>
      <c r="V106" s="139">
        <f t="shared" si="83"/>
        <v>0.93936620523967518</v>
      </c>
      <c r="W106" s="139" t="e">
        <f t="shared" si="84"/>
        <v>#DIV/0!</v>
      </c>
      <c r="X106" s="138">
        <v>1580</v>
      </c>
      <c r="Y106" s="138">
        <v>1323</v>
      </c>
      <c r="Z106" s="140">
        <f t="shared" si="85"/>
        <v>0.16265822784810124</v>
      </c>
      <c r="AA106" s="143"/>
      <c r="AB106" s="138">
        <v>4.2999999999999997E-2</v>
      </c>
      <c r="AC106" s="138">
        <v>0.53</v>
      </c>
      <c r="AD106" s="142">
        <v>0</v>
      </c>
      <c r="AE106" s="143">
        <f t="shared" si="127"/>
        <v>4.2999999999999997E-2</v>
      </c>
      <c r="AF106" s="138">
        <f t="shared" si="128"/>
        <v>0.53</v>
      </c>
      <c r="AG106" s="142" t="str">
        <f t="shared" si="129"/>
        <v>-</v>
      </c>
      <c r="AH106" s="143"/>
      <c r="AI106" s="138">
        <v>0.39100000000000001</v>
      </c>
      <c r="AJ106" s="138">
        <v>8.7409999999999997</v>
      </c>
      <c r="AK106" s="142">
        <v>0</v>
      </c>
      <c r="AL106" s="143">
        <f t="shared" si="132"/>
        <v>0.39100000000000001</v>
      </c>
      <c r="AM106" s="138">
        <f t="shared" si="133"/>
        <v>8.7409999999999997</v>
      </c>
      <c r="AN106" s="142" t="str">
        <f t="shared" si="134"/>
        <v>-</v>
      </c>
    </row>
    <row r="107" spans="1:40" s="11" customFormat="1" x14ac:dyDescent="0.35">
      <c r="A107" s="144"/>
      <c r="B107" s="11">
        <v>106</v>
      </c>
      <c r="C107" s="41" t="s">
        <v>96</v>
      </c>
      <c r="D107" s="11" t="s">
        <v>43</v>
      </c>
      <c r="E107" s="11">
        <v>1</v>
      </c>
      <c r="F107" s="11">
        <v>805</v>
      </c>
      <c r="G107" s="11">
        <v>2</v>
      </c>
      <c r="H107" s="11">
        <v>140</v>
      </c>
      <c r="I107" s="11">
        <v>1</v>
      </c>
      <c r="J107" s="11">
        <v>5000</v>
      </c>
      <c r="K107" s="11">
        <v>65</v>
      </c>
      <c r="L107" s="11">
        <v>1</v>
      </c>
      <c r="M107" s="11">
        <f>(168+180)-(135.5+161)</f>
        <v>51.5</v>
      </c>
      <c r="N107" s="42">
        <f t="shared" si="135"/>
        <v>23.409090909090907</v>
      </c>
      <c r="O107" s="43">
        <f t="shared" si="136"/>
        <v>0.16720779220779219</v>
      </c>
      <c r="P107" s="11">
        <v>1</v>
      </c>
      <c r="R107" s="11">
        <f t="shared" si="108"/>
        <v>7.8588039968503747</v>
      </c>
      <c r="S107" s="11">
        <f t="shared" si="109"/>
        <v>0.3515378518211299</v>
      </c>
      <c r="T107" s="11" t="str">
        <f t="shared" si="110"/>
        <v/>
      </c>
      <c r="U107" s="55">
        <f t="shared" si="82"/>
        <v>0.94629156010230175</v>
      </c>
      <c r="V107" s="55">
        <f t="shared" si="83"/>
        <v>0.96281889943942345</v>
      </c>
      <c r="W107" s="55" t="e">
        <f t="shared" si="84"/>
        <v>#DIV/0!</v>
      </c>
      <c r="X107" s="11">
        <v>1676</v>
      </c>
      <c r="Y107" s="11">
        <v>1370</v>
      </c>
      <c r="Z107" s="87">
        <f t="shared" si="85"/>
        <v>0.18257756563245819</v>
      </c>
      <c r="AA107" s="10"/>
      <c r="AB107" s="11">
        <v>2.1000000000000001E-2</v>
      </c>
      <c r="AC107" s="11">
        <v>0.32500000000000001</v>
      </c>
      <c r="AD107" s="88">
        <v>0</v>
      </c>
      <c r="AE107" s="10">
        <f t="shared" si="127"/>
        <v>2.1000000000000001E-2</v>
      </c>
      <c r="AF107" s="11">
        <f t="shared" si="128"/>
        <v>0.32500000000000001</v>
      </c>
      <c r="AG107" s="88" t="str">
        <f t="shared" si="129"/>
        <v>-</v>
      </c>
      <c r="AH107" s="10"/>
      <c r="AI107" s="11">
        <v>0.39100000000000001</v>
      </c>
      <c r="AJ107" s="11">
        <v>8.7409999999999997</v>
      </c>
      <c r="AK107" s="88">
        <v>0</v>
      </c>
      <c r="AL107" s="10">
        <f t="shared" si="132"/>
        <v>0.39100000000000001</v>
      </c>
      <c r="AM107" s="11">
        <f t="shared" si="133"/>
        <v>8.7409999999999997</v>
      </c>
      <c r="AN107" s="88" t="str">
        <f t="shared" si="134"/>
        <v>-</v>
      </c>
    </row>
    <row r="108" spans="1:40" s="148" customFormat="1" ht="15" thickBot="1" x14ac:dyDescent="0.4">
      <c r="A108" s="145"/>
      <c r="B108" s="148">
        <v>108</v>
      </c>
      <c r="C108" s="178" t="s">
        <v>96</v>
      </c>
      <c r="D108" s="148" t="s">
        <v>43</v>
      </c>
      <c r="E108" s="148">
        <v>1</v>
      </c>
      <c r="F108" s="148">
        <v>805</v>
      </c>
      <c r="G108" s="148">
        <v>4</v>
      </c>
      <c r="H108" s="148">
        <v>140</v>
      </c>
      <c r="I108" s="148">
        <v>1</v>
      </c>
      <c r="J108" s="148">
        <v>5000</v>
      </c>
      <c r="K108" s="148">
        <v>65</v>
      </c>
      <c r="L108" s="148">
        <v>1</v>
      </c>
      <c r="M108" s="148">
        <f>(149+161)-(117+126.5)</f>
        <v>66.5</v>
      </c>
      <c r="N108" s="189">
        <f t="shared" si="135"/>
        <v>30.227272727272723</v>
      </c>
      <c r="O108" s="190">
        <f t="shared" si="136"/>
        <v>0.21590909090909088</v>
      </c>
      <c r="P108" s="148">
        <v>1</v>
      </c>
      <c r="R108" s="148">
        <f t="shared" si="108"/>
        <v>12.869975508339841</v>
      </c>
      <c r="S108" s="148">
        <f t="shared" si="109"/>
        <v>0.57569619308555975</v>
      </c>
      <c r="T108" s="148" t="str">
        <f t="shared" si="110"/>
        <v/>
      </c>
      <c r="U108" s="149">
        <f t="shared" si="82"/>
        <v>0.94884910485933505</v>
      </c>
      <c r="V108" s="149">
        <f t="shared" si="83"/>
        <v>0.96567898409792918</v>
      </c>
      <c r="W108" s="149" t="e">
        <f t="shared" si="84"/>
        <v>#DIV/0!</v>
      </c>
      <c r="X108" s="148">
        <v>1321.5</v>
      </c>
      <c r="Y108" s="148">
        <v>1036.5</v>
      </c>
      <c r="Z108" s="150">
        <f t="shared" si="85"/>
        <v>0.21566401816118053</v>
      </c>
      <c r="AA108" s="153"/>
      <c r="AB108" s="190">
        <v>0.02</v>
      </c>
      <c r="AC108" s="148">
        <v>0.3</v>
      </c>
      <c r="AD108" s="152">
        <v>0</v>
      </c>
      <c r="AE108" s="153">
        <f t="shared" si="127"/>
        <v>0.02</v>
      </c>
      <c r="AF108" s="148">
        <f t="shared" si="128"/>
        <v>0.3</v>
      </c>
      <c r="AG108" s="152" t="str">
        <f t="shared" si="129"/>
        <v>-</v>
      </c>
      <c r="AH108" s="153"/>
      <c r="AI108" s="148">
        <v>0.39100000000000001</v>
      </c>
      <c r="AJ108" s="148">
        <v>8.7409999999999997</v>
      </c>
      <c r="AK108" s="152">
        <v>0</v>
      </c>
      <c r="AL108" s="153">
        <f t="shared" si="132"/>
        <v>0.39100000000000001</v>
      </c>
      <c r="AM108" s="148">
        <f t="shared" si="133"/>
        <v>8.7409999999999997</v>
      </c>
      <c r="AN108" s="152" t="str">
        <f t="shared" si="134"/>
        <v>-</v>
      </c>
    </row>
    <row r="109" spans="1:40" s="138" customFormat="1" x14ac:dyDescent="0.35">
      <c r="A109" s="135"/>
      <c r="B109" s="138">
        <v>109</v>
      </c>
      <c r="C109" s="177" t="s">
        <v>94</v>
      </c>
      <c r="D109" s="138" t="s">
        <v>43</v>
      </c>
      <c r="E109" s="138">
        <v>1</v>
      </c>
      <c r="F109" s="138">
        <v>806</v>
      </c>
      <c r="G109" s="138">
        <v>2</v>
      </c>
      <c r="H109" s="138">
        <v>120</v>
      </c>
      <c r="I109" s="138">
        <v>2</v>
      </c>
      <c r="J109" s="138">
        <v>5000</v>
      </c>
      <c r="K109" s="138">
        <v>65</v>
      </c>
      <c r="L109" s="138">
        <v>1</v>
      </c>
      <c r="M109" s="138">
        <f>(151.5+180.5)- (122+150.5)</f>
        <v>59.5</v>
      </c>
      <c r="N109" s="183">
        <f t="shared" si="135"/>
        <v>27.045454545454543</v>
      </c>
      <c r="O109" s="184">
        <f t="shared" si="136"/>
        <v>0.22537878787878787</v>
      </c>
      <c r="P109" s="138">
        <v>1</v>
      </c>
      <c r="R109" s="138">
        <f t="shared" si="108"/>
        <v>9.1448138915102302</v>
      </c>
      <c r="S109" s="138">
        <f t="shared" si="109"/>
        <v>0.31849179415259776</v>
      </c>
      <c r="T109" s="138">
        <f t="shared" si="110"/>
        <v>369.45048121701336</v>
      </c>
      <c r="U109" s="139">
        <f t="shared" si="82"/>
        <v>0.97524752475247523</v>
      </c>
      <c r="V109" s="139">
        <f t="shared" si="83"/>
        <v>0.98043103448275859</v>
      </c>
      <c r="W109" s="139">
        <f t="shared" si="84"/>
        <v>1</v>
      </c>
      <c r="X109" s="138">
        <v>1610.5</v>
      </c>
      <c r="Y109" s="138">
        <v>1337</v>
      </c>
      <c r="Z109" s="140">
        <f t="shared" si="85"/>
        <v>0.16982303632412299</v>
      </c>
      <c r="AA109" s="143"/>
      <c r="AB109" s="184">
        <v>0.01</v>
      </c>
      <c r="AC109" s="138">
        <v>0.22700000000000001</v>
      </c>
      <c r="AD109" s="142">
        <v>0</v>
      </c>
      <c r="AE109" s="143">
        <f t="shared" si="127"/>
        <v>0.01</v>
      </c>
      <c r="AF109" s="138">
        <f t="shared" si="128"/>
        <v>0.22700000000000001</v>
      </c>
      <c r="AG109" s="142" t="str">
        <f t="shared" si="129"/>
        <v>-</v>
      </c>
      <c r="AH109" s="143"/>
      <c r="AI109" s="138">
        <v>0.40400000000000003</v>
      </c>
      <c r="AJ109" s="184">
        <v>11.6</v>
      </c>
      <c r="AK109" s="203">
        <v>0.01</v>
      </c>
      <c r="AL109" s="143">
        <f t="shared" si="132"/>
        <v>0.40400000000000003</v>
      </c>
      <c r="AM109" s="138">
        <f t="shared" si="133"/>
        <v>11.6</v>
      </c>
      <c r="AN109" s="142">
        <f t="shared" si="134"/>
        <v>0.01</v>
      </c>
    </row>
    <row r="110" spans="1:40" s="148" customFormat="1" ht="15" thickBot="1" x14ac:dyDescent="0.4">
      <c r="A110" s="145"/>
      <c r="B110" s="148">
        <v>110</v>
      </c>
      <c r="C110" s="178" t="s">
        <v>94</v>
      </c>
      <c r="D110" s="148" t="s">
        <v>43</v>
      </c>
      <c r="E110" s="148">
        <v>1</v>
      </c>
      <c r="F110" s="148">
        <v>806</v>
      </c>
      <c r="G110" s="148">
        <v>3</v>
      </c>
      <c r="H110" s="148">
        <v>120</v>
      </c>
      <c r="I110" s="148">
        <v>1</v>
      </c>
      <c r="J110" s="148">
        <v>5000</v>
      </c>
      <c r="K110" s="148">
        <v>65</v>
      </c>
      <c r="L110" s="148">
        <v>1</v>
      </c>
      <c r="M110" s="148">
        <f>(169+178+173.5+168.5)-(144.5+165.5+149.5+158)</f>
        <v>71.5</v>
      </c>
      <c r="N110" s="189">
        <f t="shared" si="135"/>
        <v>32.5</v>
      </c>
      <c r="O110" s="190">
        <f t="shared" si="136"/>
        <v>0.27083333333333331</v>
      </c>
      <c r="P110" s="148">
        <v>1</v>
      </c>
      <c r="R110" s="148">
        <f t="shared" si="108"/>
        <v>10.85768086011055</v>
      </c>
      <c r="S110" s="148">
        <f t="shared" si="109"/>
        <v>0.37814681616247092</v>
      </c>
      <c r="T110" s="148">
        <f t="shared" si="110"/>
        <v>438.65030674846622</v>
      </c>
      <c r="U110" s="149">
        <f t="shared" si="82"/>
        <v>0.97524752475247523</v>
      </c>
      <c r="V110" s="149">
        <f t="shared" si="83"/>
        <v>0.97956896551724137</v>
      </c>
      <c r="W110" s="149">
        <f t="shared" si="84"/>
        <v>1</v>
      </c>
      <c r="X110" s="148">
        <v>1630</v>
      </c>
      <c r="Y110" s="148">
        <v>1334.5</v>
      </c>
      <c r="Z110" s="150">
        <f t="shared" si="85"/>
        <v>0.18128834355828216</v>
      </c>
      <c r="AA110" s="153"/>
      <c r="AB110" s="190">
        <v>0.01</v>
      </c>
      <c r="AC110" s="148">
        <v>0.23699999999999999</v>
      </c>
      <c r="AD110" s="152">
        <v>0</v>
      </c>
      <c r="AE110" s="153">
        <f t="shared" si="127"/>
        <v>0.01</v>
      </c>
      <c r="AF110" s="148">
        <f t="shared" si="128"/>
        <v>0.23699999999999999</v>
      </c>
      <c r="AG110" s="152" t="str">
        <f t="shared" si="129"/>
        <v>-</v>
      </c>
      <c r="AH110" s="153"/>
      <c r="AI110" s="148">
        <v>0.40400000000000003</v>
      </c>
      <c r="AJ110" s="190">
        <v>11.6</v>
      </c>
      <c r="AK110" s="204">
        <v>0.01</v>
      </c>
      <c r="AL110" s="153">
        <f t="shared" si="132"/>
        <v>0.40400000000000003</v>
      </c>
      <c r="AM110" s="148">
        <f t="shared" si="133"/>
        <v>11.6</v>
      </c>
      <c r="AN110" s="152">
        <f t="shared" si="134"/>
        <v>0.01</v>
      </c>
    </row>
    <row r="111" spans="1:40" s="138" customFormat="1" x14ac:dyDescent="0.35">
      <c r="A111" s="135"/>
      <c r="B111" s="138">
        <v>111</v>
      </c>
      <c r="C111" s="177" t="s">
        <v>97</v>
      </c>
      <c r="D111" s="138" t="s">
        <v>43</v>
      </c>
      <c r="E111" s="138">
        <v>1</v>
      </c>
      <c r="F111" s="138">
        <v>815</v>
      </c>
      <c r="G111" s="138">
        <v>3</v>
      </c>
      <c r="H111" s="138">
        <v>120</v>
      </c>
      <c r="I111" s="138">
        <v>1</v>
      </c>
      <c r="J111" s="138">
        <v>5000</v>
      </c>
      <c r="K111" s="138">
        <v>65</v>
      </c>
      <c r="L111" s="138">
        <v>1</v>
      </c>
      <c r="M111" s="138">
        <f>(128.5+137.5+138+92.5+166.5+168+170+166.5)-(138+92+129+137.5+132.5+133.5+168+167)</f>
        <v>70</v>
      </c>
      <c r="N111" s="183">
        <f t="shared" ref="N111:N115" si="137">M111/2.2</f>
        <v>31.818181818181817</v>
      </c>
      <c r="O111" s="184">
        <f t="shared" ref="O111:O115" si="138">N111/H111</f>
        <v>0.26515151515151514</v>
      </c>
      <c r="P111" s="138">
        <v>1</v>
      </c>
      <c r="R111" s="138">
        <f t="shared" si="108"/>
        <v>13.457863429601916</v>
      </c>
      <c r="S111" s="138">
        <f t="shared" si="109"/>
        <v>0.44750984425762397</v>
      </c>
      <c r="T111" s="138">
        <f t="shared" si="110"/>
        <v>713.26676176890157</v>
      </c>
      <c r="U111" s="139">
        <f t="shared" si="82"/>
        <v>0.97035040431266839</v>
      </c>
      <c r="V111" s="139">
        <f t="shared" si="83"/>
        <v>0.97866810074392763</v>
      </c>
      <c r="W111" s="139">
        <f t="shared" si="84"/>
        <v>1</v>
      </c>
      <c r="X111" s="138">
        <v>1402</v>
      </c>
      <c r="Y111" s="138">
        <v>1155</v>
      </c>
      <c r="Z111" s="140">
        <f t="shared" si="85"/>
        <v>0.17617689015691873</v>
      </c>
      <c r="AA111" s="143"/>
      <c r="AB111" s="138">
        <v>1.0999999999999999E-2</v>
      </c>
      <c r="AC111" s="138">
        <v>0.23799999999999999</v>
      </c>
      <c r="AD111" s="142">
        <v>0</v>
      </c>
      <c r="AE111" s="143">
        <f t="shared" si="127"/>
        <v>1.0999999999999999E-2</v>
      </c>
      <c r="AF111" s="138">
        <f t="shared" si="128"/>
        <v>0.23799999999999999</v>
      </c>
      <c r="AG111" s="142" t="str">
        <f t="shared" si="129"/>
        <v>-</v>
      </c>
      <c r="AH111" s="143"/>
      <c r="AI111" s="138">
        <v>0.371</v>
      </c>
      <c r="AJ111" s="138">
        <v>11.157</v>
      </c>
      <c r="AK111" s="142">
        <v>7.0000000000000001E-3</v>
      </c>
      <c r="AL111" s="143">
        <f t="shared" si="132"/>
        <v>0.371</v>
      </c>
      <c r="AM111" s="138">
        <f t="shared" si="133"/>
        <v>11.157</v>
      </c>
      <c r="AN111" s="142">
        <f t="shared" si="134"/>
        <v>7.0000000000000001E-3</v>
      </c>
    </row>
    <row r="112" spans="1:40" s="148" customFormat="1" ht="15" thickBot="1" x14ac:dyDescent="0.4">
      <c r="A112" s="145"/>
      <c r="B112" s="148">
        <v>112</v>
      </c>
      <c r="C112" s="178" t="s">
        <v>97</v>
      </c>
      <c r="D112" s="148" t="s">
        <v>43</v>
      </c>
      <c r="E112" s="148">
        <v>1</v>
      </c>
      <c r="F112" s="148">
        <v>815</v>
      </c>
      <c r="G112" s="148">
        <v>4</v>
      </c>
      <c r="H112" s="148">
        <v>120</v>
      </c>
      <c r="I112" s="148">
        <v>2</v>
      </c>
      <c r="J112" s="148">
        <v>5000</v>
      </c>
      <c r="K112" s="148">
        <v>65</v>
      </c>
      <c r="L112" s="148">
        <v>1</v>
      </c>
      <c r="M112" s="148">
        <f>(132.5+133.5+168+167+155+172)-(145.5+166+132+149+140+144)</f>
        <v>51.5</v>
      </c>
      <c r="N112" s="189">
        <f t="shared" si="137"/>
        <v>23.409090909090907</v>
      </c>
      <c r="O112" s="190">
        <f t="shared" si="138"/>
        <v>0.19507575757575754</v>
      </c>
      <c r="P112" s="148">
        <v>1</v>
      </c>
      <c r="R112" s="148">
        <f t="shared" si="108"/>
        <v>12.366504781515079</v>
      </c>
      <c r="S112" s="148">
        <f t="shared" si="109"/>
        <v>0.41121925911464496</v>
      </c>
      <c r="T112" s="148">
        <f t="shared" si="110"/>
        <v>655.424753420299</v>
      </c>
      <c r="U112" s="149">
        <f t="shared" si="82"/>
        <v>0.8867924528301887</v>
      </c>
      <c r="V112" s="149">
        <f t="shared" si="83"/>
        <v>0.97176660392578651</v>
      </c>
      <c r="W112" s="149">
        <f t="shared" si="84"/>
        <v>1</v>
      </c>
      <c r="X112" s="148">
        <v>1122.5</v>
      </c>
      <c r="Y112" s="148">
        <v>930</v>
      </c>
      <c r="Z112" s="150">
        <f t="shared" si="85"/>
        <v>0.17149220489977723</v>
      </c>
      <c r="AA112" s="153"/>
      <c r="AB112" s="148">
        <v>4.2000000000000003E-2</v>
      </c>
      <c r="AC112" s="148">
        <v>0.315</v>
      </c>
      <c r="AD112" s="152">
        <v>0</v>
      </c>
      <c r="AE112" s="153">
        <f t="shared" si="127"/>
        <v>4.2000000000000003E-2</v>
      </c>
      <c r="AF112" s="148">
        <f t="shared" si="128"/>
        <v>0.315</v>
      </c>
      <c r="AG112" s="152" t="str">
        <f t="shared" si="129"/>
        <v>-</v>
      </c>
      <c r="AH112" s="153"/>
      <c r="AI112" s="148">
        <v>0.371</v>
      </c>
      <c r="AJ112" s="148">
        <v>11.157</v>
      </c>
      <c r="AK112" s="152">
        <v>7.0000000000000001E-3</v>
      </c>
      <c r="AL112" s="153">
        <f t="shared" si="132"/>
        <v>0.371</v>
      </c>
      <c r="AM112" s="148">
        <f t="shared" si="133"/>
        <v>11.157</v>
      </c>
      <c r="AN112" s="152">
        <f t="shared" si="134"/>
        <v>7.0000000000000001E-3</v>
      </c>
    </row>
    <row r="113" spans="1:40" s="155" customFormat="1" x14ac:dyDescent="0.35">
      <c r="A113" s="154"/>
      <c r="B113" s="155">
        <v>113</v>
      </c>
      <c r="C113" s="188" t="s">
        <v>102</v>
      </c>
      <c r="D113" s="155" t="s">
        <v>63</v>
      </c>
      <c r="F113" s="155">
        <v>466</v>
      </c>
      <c r="G113" s="155">
        <v>1</v>
      </c>
      <c r="H113" s="155">
        <v>120</v>
      </c>
      <c r="I113" s="155">
        <v>1</v>
      </c>
      <c r="J113" s="155">
        <v>5000</v>
      </c>
      <c r="K113" s="155">
        <v>65</v>
      </c>
      <c r="L113" s="155">
        <v>1</v>
      </c>
      <c r="M113" s="155">
        <f>(168+165+177.5+158.5)-(150.5+148+168+146.5)</f>
        <v>56</v>
      </c>
      <c r="N113" s="185">
        <f t="shared" si="137"/>
        <v>25.454545454545453</v>
      </c>
      <c r="O113" s="179">
        <f t="shared" si="138"/>
        <v>0.2121212121212121</v>
      </c>
      <c r="P113" s="155">
        <v>1</v>
      </c>
      <c r="R113" s="155">
        <f t="shared" si="108"/>
        <v>0.32276320345015419</v>
      </c>
      <c r="S113" s="155">
        <f t="shared" si="109"/>
        <v>1024.4308463445198</v>
      </c>
      <c r="T113" s="155">
        <f t="shared" si="110"/>
        <v>14.144861058313454</v>
      </c>
      <c r="U113" s="157">
        <f t="shared" si="82"/>
        <v>0.78776016803513471</v>
      </c>
      <c r="V113" s="157">
        <f t="shared" si="83"/>
        <v>1</v>
      </c>
      <c r="W113" s="157">
        <f t="shared" si="84"/>
        <v>0.61924686192468614</v>
      </c>
      <c r="X113" s="155">
        <v>1656.5</v>
      </c>
      <c r="Y113" s="155">
        <v>1433</v>
      </c>
      <c r="Z113" s="158">
        <f t="shared" si="85"/>
        <v>0.13492303048596443</v>
      </c>
      <c r="AA113" s="159"/>
      <c r="AB113" s="155">
        <v>2.2229999999999999</v>
      </c>
      <c r="AC113" s="155">
        <v>0</v>
      </c>
      <c r="AD113" s="160">
        <v>9.0999999999999998E-2</v>
      </c>
      <c r="AE113" s="159">
        <f t="shared" si="127"/>
        <v>2.2229999999999999</v>
      </c>
      <c r="AF113" s="155" t="str">
        <f t="shared" si="128"/>
        <v>-</v>
      </c>
      <c r="AG113" s="160">
        <f t="shared" si="129"/>
        <v>9.0999999999999998E-2</v>
      </c>
      <c r="AH113" s="159"/>
      <c r="AI113" s="17">
        <v>10.474</v>
      </c>
      <c r="AJ113" s="17">
        <v>3.3E-3</v>
      </c>
      <c r="AK113" s="17">
        <v>0.23899999999999999</v>
      </c>
      <c r="AL113" s="159">
        <f t="shared" si="132"/>
        <v>10.474</v>
      </c>
      <c r="AM113" s="155">
        <f t="shared" si="133"/>
        <v>3.3E-3</v>
      </c>
      <c r="AN113" s="160">
        <f t="shared" si="134"/>
        <v>0.23899999999999999</v>
      </c>
    </row>
    <row r="114" spans="1:40" s="17" customFormat="1" x14ac:dyDescent="0.35">
      <c r="A114" s="161"/>
      <c r="B114" s="17">
        <v>114</v>
      </c>
      <c r="C114" s="44" t="s">
        <v>98</v>
      </c>
      <c r="D114" s="17" t="s">
        <v>63</v>
      </c>
      <c r="F114" s="17">
        <v>466</v>
      </c>
      <c r="G114" s="17">
        <v>2</v>
      </c>
      <c r="H114" s="17">
        <v>120</v>
      </c>
      <c r="I114" s="17">
        <v>1</v>
      </c>
      <c r="J114" s="17">
        <v>5000</v>
      </c>
      <c r="K114" s="17">
        <v>65</v>
      </c>
      <c r="L114" s="17">
        <v>1</v>
      </c>
      <c r="M114" s="17">
        <f>(150+148+169+165)-(146+143+154+149.5)</f>
        <v>39.5</v>
      </c>
      <c r="N114" s="39">
        <f t="shared" si="137"/>
        <v>17.954545454545453</v>
      </c>
      <c r="O114" s="40">
        <f t="shared" si="138"/>
        <v>0.1496212121212121</v>
      </c>
      <c r="P114" s="17">
        <v>1</v>
      </c>
      <c r="R114" s="17">
        <f t="shared" si="108"/>
        <v>0.22488032666059321</v>
      </c>
      <c r="S114" s="17">
        <f t="shared" si="109"/>
        <v>713.75652771001603</v>
      </c>
      <c r="T114" s="17">
        <f t="shared" si="110"/>
        <v>9.8552156545734437</v>
      </c>
      <c r="U114" s="91">
        <f t="shared" si="82"/>
        <v>0.96009165552797415</v>
      </c>
      <c r="V114" s="91">
        <f t="shared" si="83"/>
        <v>1</v>
      </c>
      <c r="W114" s="91">
        <f t="shared" si="84"/>
        <v>0.89958158995815907</v>
      </c>
      <c r="X114" s="17">
        <v>1677</v>
      </c>
      <c r="Y114" s="17">
        <v>1242.5</v>
      </c>
      <c r="Z114" s="93">
        <f t="shared" si="85"/>
        <v>0.25909361955873589</v>
      </c>
      <c r="AA114" s="16"/>
      <c r="AB114" s="17">
        <v>0.41799999999999998</v>
      </c>
      <c r="AC114" s="17">
        <v>0</v>
      </c>
      <c r="AD114" s="21">
        <v>2.4E-2</v>
      </c>
      <c r="AE114" s="16">
        <f t="shared" si="127"/>
        <v>0.41799999999999998</v>
      </c>
      <c r="AF114" s="17" t="str">
        <f t="shared" si="128"/>
        <v>-</v>
      </c>
      <c r="AG114" s="21">
        <f t="shared" si="129"/>
        <v>2.4E-2</v>
      </c>
      <c r="AH114" s="16"/>
      <c r="AI114" s="17">
        <v>10.474</v>
      </c>
      <c r="AJ114" s="17">
        <v>3.3E-3</v>
      </c>
      <c r="AK114" s="17">
        <v>0.23899999999999999</v>
      </c>
      <c r="AL114" s="16">
        <f t="shared" si="132"/>
        <v>10.474</v>
      </c>
      <c r="AM114" s="17">
        <f t="shared" si="133"/>
        <v>3.3E-3</v>
      </c>
      <c r="AN114" s="21">
        <f t="shared" si="134"/>
        <v>0.23899999999999999</v>
      </c>
    </row>
    <row r="115" spans="1:40" s="17" customFormat="1" x14ac:dyDescent="0.35">
      <c r="A115" s="161"/>
      <c r="B115" s="17">
        <v>115</v>
      </c>
      <c r="C115" s="44" t="s">
        <v>98</v>
      </c>
      <c r="D115" s="17" t="s">
        <v>63</v>
      </c>
      <c r="F115" s="17">
        <v>466</v>
      </c>
      <c r="G115" s="17">
        <v>3</v>
      </c>
      <c r="H115" s="17">
        <v>120</v>
      </c>
      <c r="I115" s="17">
        <v>2</v>
      </c>
      <c r="J115" s="17">
        <v>5000</v>
      </c>
      <c r="K115" s="17">
        <v>65</v>
      </c>
      <c r="L115" s="17">
        <v>1</v>
      </c>
      <c r="M115" s="17">
        <f>(158+120+156+151)-(131+95+144.5+139)</f>
        <v>75.5</v>
      </c>
      <c r="N115" s="39">
        <f t="shared" si="137"/>
        <v>34.318181818181813</v>
      </c>
      <c r="O115" s="40">
        <f t="shared" si="138"/>
        <v>0.28598484848484845</v>
      </c>
      <c r="P115" s="17">
        <v>1</v>
      </c>
      <c r="R115" s="17">
        <f t="shared" si="108"/>
        <v>0.46415488584187431</v>
      </c>
      <c r="S115" s="17">
        <f t="shared" si="109"/>
        <v>1473.1994770629669</v>
      </c>
      <c r="T115" s="17">
        <f t="shared" si="110"/>
        <v>20.341248009656031</v>
      </c>
      <c r="U115" s="91">
        <f t="shared" si="82"/>
        <v>0.98415123162115714</v>
      </c>
      <c r="V115" s="91">
        <f t="shared" si="83"/>
        <v>1</v>
      </c>
      <c r="W115" s="91">
        <f t="shared" si="84"/>
        <v>0.9874476987447699</v>
      </c>
      <c r="X115" s="17">
        <v>1553</v>
      </c>
      <c r="Y115" s="17">
        <v>1271</v>
      </c>
      <c r="Z115" s="93">
        <f t="shared" si="85"/>
        <v>0.18158403090792019</v>
      </c>
      <c r="AA115" s="16"/>
      <c r="AB115" s="17">
        <v>0.16600000000000001</v>
      </c>
      <c r="AC115" s="17">
        <v>0</v>
      </c>
      <c r="AD115" s="21">
        <v>3.0000000000000001E-3</v>
      </c>
      <c r="AE115" s="16">
        <f t="shared" si="127"/>
        <v>0.16600000000000001</v>
      </c>
      <c r="AF115" s="17" t="str">
        <f t="shared" si="128"/>
        <v>-</v>
      </c>
      <c r="AG115" s="21">
        <f t="shared" si="129"/>
        <v>3.0000000000000001E-3</v>
      </c>
      <c r="AH115" s="16"/>
      <c r="AI115" s="17">
        <v>10.474</v>
      </c>
      <c r="AJ115" s="17">
        <v>3.3E-3</v>
      </c>
      <c r="AK115" s="17">
        <v>0.23899999999999999</v>
      </c>
      <c r="AL115" s="16">
        <f t="shared" si="132"/>
        <v>10.474</v>
      </c>
      <c r="AM115" s="17">
        <f t="shared" si="133"/>
        <v>3.3E-3</v>
      </c>
      <c r="AN115" s="21">
        <f t="shared" si="134"/>
        <v>0.23899999999999999</v>
      </c>
    </row>
    <row r="116" spans="1:40" s="163" customFormat="1" ht="15" thickBot="1" x14ac:dyDescent="0.4">
      <c r="A116" s="162"/>
      <c r="B116" s="163">
        <v>117</v>
      </c>
      <c r="C116" s="164" t="s">
        <v>98</v>
      </c>
      <c r="D116" s="163" t="s">
        <v>63</v>
      </c>
      <c r="F116" s="163">
        <v>466</v>
      </c>
      <c r="G116" s="163">
        <v>4</v>
      </c>
      <c r="H116" s="163">
        <v>60</v>
      </c>
      <c r="I116" s="163">
        <v>1</v>
      </c>
      <c r="J116" s="163">
        <v>5000</v>
      </c>
      <c r="K116" s="163">
        <v>65</v>
      </c>
      <c r="L116" s="163">
        <v>1</v>
      </c>
      <c r="M116" s="163">
        <f>(182+167)-(149+140.5)</f>
        <v>59.5</v>
      </c>
      <c r="N116" s="187">
        <f t="shared" ref="N116:N142" si="139">M116/2.2</f>
        <v>27.045454545454543</v>
      </c>
      <c r="O116" s="180">
        <f t="shared" ref="O116:O142" si="140">N116/H116</f>
        <v>0.45075757575757575</v>
      </c>
      <c r="P116" s="163">
        <v>1</v>
      </c>
      <c r="R116" s="163">
        <f t="shared" si="108"/>
        <v>0.32601051616779297</v>
      </c>
      <c r="S116" s="163">
        <f t="shared" si="109"/>
        <v>1034.7376201034738</v>
      </c>
      <c r="T116" s="163">
        <f t="shared" si="110"/>
        <v>14.287172160424536</v>
      </c>
      <c r="U116" s="165">
        <f t="shared" si="82"/>
        <v>0.99408058048501058</v>
      </c>
      <c r="V116" s="165">
        <f t="shared" si="83"/>
        <v>1</v>
      </c>
      <c r="W116" s="165">
        <f t="shared" si="84"/>
        <v>0.98326359832635979</v>
      </c>
      <c r="X116" s="163">
        <v>1742.5</v>
      </c>
      <c r="Y116" s="163">
        <v>1387</v>
      </c>
      <c r="Z116" s="166">
        <f t="shared" si="85"/>
        <v>0.20401721664275463</v>
      </c>
      <c r="AA116" s="167"/>
      <c r="AB116" s="163">
        <v>6.2E-2</v>
      </c>
      <c r="AC116" s="163">
        <v>0</v>
      </c>
      <c r="AD116" s="168">
        <v>4.0000000000000001E-3</v>
      </c>
      <c r="AE116" s="167">
        <f t="shared" si="127"/>
        <v>6.2E-2</v>
      </c>
      <c r="AF116" s="163" t="str">
        <f t="shared" si="128"/>
        <v>-</v>
      </c>
      <c r="AG116" s="168">
        <f t="shared" si="129"/>
        <v>4.0000000000000001E-3</v>
      </c>
      <c r="AH116" s="167"/>
      <c r="AI116" s="17">
        <v>10.474</v>
      </c>
      <c r="AJ116" s="17">
        <v>3.3E-3</v>
      </c>
      <c r="AK116" s="17">
        <v>0.23899999999999999</v>
      </c>
      <c r="AL116" s="167">
        <f t="shared" si="132"/>
        <v>10.474</v>
      </c>
      <c r="AM116" s="163">
        <f t="shared" si="133"/>
        <v>3.3E-3</v>
      </c>
      <c r="AN116" s="168">
        <f t="shared" si="134"/>
        <v>0.23899999999999999</v>
      </c>
    </row>
    <row r="117" spans="1:40" s="155" customFormat="1" x14ac:dyDescent="0.35">
      <c r="A117" s="154"/>
      <c r="B117" s="155">
        <v>118</v>
      </c>
      <c r="C117" s="156" t="s">
        <v>99</v>
      </c>
      <c r="D117" s="155" t="s">
        <v>63</v>
      </c>
      <c r="F117" s="155">
        <v>467</v>
      </c>
      <c r="G117" s="155">
        <v>1</v>
      </c>
      <c r="H117" s="155">
        <v>165</v>
      </c>
      <c r="I117" s="155">
        <v>1</v>
      </c>
      <c r="J117" s="155">
        <v>5000</v>
      </c>
      <c r="K117" s="155">
        <v>65</v>
      </c>
      <c r="L117" s="155">
        <v>1</v>
      </c>
      <c r="M117" s="155">
        <f>(167.5+173.5+159+165+147+156)-(166+145+151.5+162+139+134)</f>
        <v>70.5</v>
      </c>
      <c r="N117" s="185">
        <f t="shared" si="139"/>
        <v>32.04545454545454</v>
      </c>
      <c r="O117" s="179">
        <f t="shared" si="140"/>
        <v>0.19421487603305781</v>
      </c>
      <c r="P117" s="155">
        <v>1</v>
      </c>
      <c r="R117" s="155">
        <f t="shared" si="108"/>
        <v>0.38101599942928666</v>
      </c>
      <c r="S117" s="155">
        <f t="shared" si="109"/>
        <v>95.409516591782605</v>
      </c>
      <c r="T117" s="155">
        <f t="shared" si="110"/>
        <v>24.223141518120972</v>
      </c>
      <c r="U117" s="157">
        <f t="shared" si="82"/>
        <v>0.76299918500407504</v>
      </c>
      <c r="V117" s="157">
        <f t="shared" si="83"/>
        <v>1</v>
      </c>
      <c r="W117" s="157">
        <f t="shared" si="84"/>
        <v>0.52331606217616577</v>
      </c>
      <c r="X117" s="155">
        <v>1508</v>
      </c>
      <c r="Y117" s="155">
        <v>1285.5</v>
      </c>
      <c r="Z117" s="158">
        <f t="shared" si="85"/>
        <v>0.14754641909814326</v>
      </c>
      <c r="AA117" s="159"/>
      <c r="AB117" s="155">
        <v>2.9079999999999999</v>
      </c>
      <c r="AC117" s="155">
        <v>0</v>
      </c>
      <c r="AD117" s="160">
        <v>9.1999999999999998E-2</v>
      </c>
      <c r="AE117" s="159">
        <f t="shared" si="127"/>
        <v>2.9079999999999999</v>
      </c>
      <c r="AF117" s="155" t="str">
        <f t="shared" si="128"/>
        <v>-</v>
      </c>
      <c r="AG117" s="160">
        <f t="shared" si="129"/>
        <v>9.1999999999999998E-2</v>
      </c>
      <c r="AH117" s="159"/>
      <c r="AI117" s="40">
        <v>12.27</v>
      </c>
      <c r="AJ117" s="17">
        <v>4.9000000000000002E-2</v>
      </c>
      <c r="AK117" s="17">
        <v>0.193</v>
      </c>
      <c r="AL117" s="155">
        <f t="shared" si="132"/>
        <v>12.27</v>
      </c>
      <c r="AM117" s="155">
        <f t="shared" si="133"/>
        <v>4.9000000000000002E-2</v>
      </c>
      <c r="AN117" s="160">
        <f t="shared" si="134"/>
        <v>0.193</v>
      </c>
    </row>
    <row r="118" spans="1:40" s="17" customFormat="1" x14ac:dyDescent="0.35">
      <c r="A118" s="161"/>
      <c r="B118" s="17">
        <v>121</v>
      </c>
      <c r="C118" s="45">
        <v>43349</v>
      </c>
      <c r="D118" s="17" t="s">
        <v>63</v>
      </c>
      <c r="F118" s="17">
        <v>467</v>
      </c>
      <c r="G118" s="17">
        <v>3</v>
      </c>
      <c r="H118" s="17">
        <v>140</v>
      </c>
      <c r="I118" s="17">
        <v>1</v>
      </c>
      <c r="J118" s="17">
        <v>5000</v>
      </c>
      <c r="K118" s="17">
        <v>65</v>
      </c>
      <c r="L118" s="17">
        <v>1</v>
      </c>
      <c r="M118" s="17">
        <f>(172.5+168+170+168)-(141.5+135+172.5+159)</f>
        <v>70.5</v>
      </c>
      <c r="N118" s="39">
        <f t="shared" si="139"/>
        <v>32.04545454545454</v>
      </c>
      <c r="O118" s="40">
        <f t="shared" si="140"/>
        <v>0.22889610389610385</v>
      </c>
      <c r="P118" s="17">
        <v>1</v>
      </c>
      <c r="R118" s="17">
        <f t="shared" si="108"/>
        <v>0.37455810113387511</v>
      </c>
      <c r="S118" s="17">
        <f t="shared" si="109"/>
        <v>93.792406141074423</v>
      </c>
      <c r="T118" s="17">
        <f t="shared" si="110"/>
        <v>23.812579797474854</v>
      </c>
      <c r="U118" s="91">
        <f t="shared" si="82"/>
        <v>0.97522412387938062</v>
      </c>
      <c r="V118" s="91">
        <f t="shared" si="83"/>
        <v>1</v>
      </c>
      <c r="W118" s="91">
        <f t="shared" si="84"/>
        <v>0.93782383419689119</v>
      </c>
      <c r="X118" s="17">
        <v>1534</v>
      </c>
      <c r="Y118" s="17">
        <v>1234</v>
      </c>
      <c r="Z118" s="93">
        <f t="shared" si="85"/>
        <v>0.19556714471968706</v>
      </c>
      <c r="AA118" s="16"/>
      <c r="AB118" s="17">
        <v>0.30399999999999999</v>
      </c>
      <c r="AC118" s="17">
        <v>0</v>
      </c>
      <c r="AD118" s="21">
        <v>1.2E-2</v>
      </c>
      <c r="AE118" s="16">
        <f t="shared" si="127"/>
        <v>0.30399999999999999</v>
      </c>
      <c r="AF118" s="17" t="str">
        <f t="shared" si="128"/>
        <v>-</v>
      </c>
      <c r="AG118" s="21">
        <f t="shared" si="129"/>
        <v>1.2E-2</v>
      </c>
      <c r="AH118" s="16"/>
      <c r="AI118" s="40">
        <v>12.27</v>
      </c>
      <c r="AJ118" s="17">
        <v>4.9000000000000002E-2</v>
      </c>
      <c r="AK118" s="17">
        <v>0.193</v>
      </c>
      <c r="AL118" s="17">
        <f t="shared" si="132"/>
        <v>12.27</v>
      </c>
      <c r="AM118" s="17">
        <f t="shared" si="133"/>
        <v>4.9000000000000002E-2</v>
      </c>
      <c r="AN118" s="21">
        <f t="shared" si="134"/>
        <v>0.193</v>
      </c>
    </row>
    <row r="119" spans="1:40" s="163" customFormat="1" ht="15" thickBot="1" x14ac:dyDescent="0.4">
      <c r="A119" s="162"/>
      <c r="B119" s="163">
        <v>123</v>
      </c>
      <c r="C119" s="164" t="s">
        <v>100</v>
      </c>
      <c r="D119" s="163" t="s">
        <v>63</v>
      </c>
      <c r="F119" s="163">
        <v>467</v>
      </c>
      <c r="G119" s="163">
        <v>5</v>
      </c>
      <c r="H119" s="163">
        <v>125</v>
      </c>
      <c r="I119" s="163">
        <v>1</v>
      </c>
      <c r="J119" s="163">
        <v>5000</v>
      </c>
      <c r="K119" s="163">
        <v>65</v>
      </c>
      <c r="L119" s="163">
        <v>1</v>
      </c>
      <c r="M119" s="163">
        <f>(161+181+146+146)-(132+149+140+140.5)</f>
        <v>72.5</v>
      </c>
      <c r="N119" s="187">
        <f t="shared" si="139"/>
        <v>32.954545454545453</v>
      </c>
      <c r="O119" s="180">
        <f t="shared" si="140"/>
        <v>0.26363636363636361</v>
      </c>
      <c r="P119" s="163">
        <v>1</v>
      </c>
      <c r="R119" s="163">
        <f t="shared" si="108"/>
        <v>0.38988587637068417</v>
      </c>
      <c r="S119" s="163">
        <f t="shared" si="109"/>
        <v>97.630606185067236</v>
      </c>
      <c r="T119" s="163">
        <f t="shared" si="110"/>
        <v>24.787045093618104</v>
      </c>
      <c r="U119" s="165">
        <f t="shared" si="82"/>
        <v>0.9779136104319478</v>
      </c>
      <c r="V119" s="165">
        <f t="shared" si="83"/>
        <v>1</v>
      </c>
      <c r="W119" s="165">
        <f t="shared" si="84"/>
        <v>0.93782383419689119</v>
      </c>
      <c r="X119" s="163">
        <v>1515.5</v>
      </c>
      <c r="Y119" s="163">
        <v>1251.5</v>
      </c>
      <c r="Z119" s="166">
        <f t="shared" si="85"/>
        <v>0.17419993401517653</v>
      </c>
      <c r="AA119" s="167"/>
      <c r="AB119" s="163">
        <v>0.27100000000000002</v>
      </c>
      <c r="AC119" s="163">
        <v>0</v>
      </c>
      <c r="AD119" s="168">
        <v>1.2E-2</v>
      </c>
      <c r="AE119" s="167">
        <f t="shared" si="127"/>
        <v>0.27100000000000002</v>
      </c>
      <c r="AF119" s="163" t="str">
        <f t="shared" si="128"/>
        <v>-</v>
      </c>
      <c r="AG119" s="168">
        <f t="shared" si="129"/>
        <v>1.2E-2</v>
      </c>
      <c r="AH119" s="167"/>
      <c r="AI119" s="40">
        <v>12.27</v>
      </c>
      <c r="AJ119" s="17">
        <v>4.9000000000000002E-2</v>
      </c>
      <c r="AK119" s="17">
        <v>0.193</v>
      </c>
      <c r="AL119" s="163">
        <f t="shared" si="132"/>
        <v>12.27</v>
      </c>
      <c r="AM119" s="163">
        <f t="shared" si="133"/>
        <v>4.9000000000000002E-2</v>
      </c>
      <c r="AN119" s="168">
        <f t="shared" si="134"/>
        <v>0.193</v>
      </c>
    </row>
    <row r="120" spans="1:40" s="155" customFormat="1" x14ac:dyDescent="0.35">
      <c r="A120" s="154"/>
      <c r="B120" s="155">
        <v>124</v>
      </c>
      <c r="C120" s="156" t="s">
        <v>103</v>
      </c>
      <c r="D120" s="155" t="s">
        <v>101</v>
      </c>
      <c r="F120" s="155">
        <v>771</v>
      </c>
      <c r="G120" s="155">
        <v>1</v>
      </c>
      <c r="H120" s="155">
        <v>135</v>
      </c>
      <c r="I120" s="155">
        <v>1</v>
      </c>
      <c r="J120" s="155">
        <v>5000</v>
      </c>
      <c r="K120" s="155">
        <v>65</v>
      </c>
      <c r="L120" s="155">
        <v>1</v>
      </c>
      <c r="M120" s="155">
        <f>(134.5+134.5+158+174)-(116.5+115+135+164)</f>
        <v>70.5</v>
      </c>
      <c r="N120" s="185">
        <f t="shared" si="139"/>
        <v>32.04545454545454</v>
      </c>
      <c r="O120" s="179">
        <f t="shared" si="140"/>
        <v>0.23737373737373732</v>
      </c>
      <c r="P120" s="155">
        <v>1</v>
      </c>
      <c r="R120" s="155">
        <f t="shared" si="108"/>
        <v>0.40659230891141912</v>
      </c>
      <c r="S120" s="155">
        <f t="shared" si="109"/>
        <v>1303.7327440338045</v>
      </c>
      <c r="T120" s="155">
        <f t="shared" si="110"/>
        <v>29.235219108636834</v>
      </c>
      <c r="U120" s="157">
        <f t="shared" si="82"/>
        <v>0.95010114632501685</v>
      </c>
      <c r="V120" s="157">
        <f t="shared" si="83"/>
        <v>1</v>
      </c>
      <c r="W120" s="157">
        <f t="shared" si="84"/>
        <v>0.89696969696969708</v>
      </c>
      <c r="X120" s="155">
        <v>1461.5</v>
      </c>
      <c r="Y120" s="155">
        <v>1209.5</v>
      </c>
      <c r="Z120" s="158">
        <f t="shared" si="85"/>
        <v>0.17242559014710912</v>
      </c>
      <c r="AA120" s="159"/>
      <c r="AB120" s="155">
        <v>0.59199999999999997</v>
      </c>
      <c r="AC120" s="155">
        <v>0</v>
      </c>
      <c r="AD120" s="160">
        <v>1.7000000000000001E-2</v>
      </c>
      <c r="AE120" s="159">
        <f t="shared" si="127"/>
        <v>0.59199999999999997</v>
      </c>
      <c r="AF120" s="155" t="str">
        <f t="shared" si="128"/>
        <v>-</v>
      </c>
      <c r="AG120" s="160">
        <f t="shared" si="129"/>
        <v>1.7000000000000001E-2</v>
      </c>
      <c r="AH120" s="159"/>
      <c r="AI120" s="17">
        <v>11.864000000000001</v>
      </c>
      <c r="AJ120" s="17">
        <v>3.7000000000000002E-3</v>
      </c>
      <c r="AK120" s="17">
        <v>0.16500000000000001</v>
      </c>
      <c r="AL120" s="155">
        <f t="shared" si="132"/>
        <v>11.864000000000001</v>
      </c>
      <c r="AM120" s="155">
        <f t="shared" si="133"/>
        <v>3.7000000000000002E-3</v>
      </c>
      <c r="AN120" s="160">
        <f t="shared" si="134"/>
        <v>0.16500000000000001</v>
      </c>
    </row>
    <row r="121" spans="1:40" s="17" customFormat="1" x14ac:dyDescent="0.35">
      <c r="A121" s="161"/>
      <c r="B121" s="17">
        <v>125</v>
      </c>
      <c r="C121" s="38" t="s">
        <v>103</v>
      </c>
      <c r="D121" s="17" t="s">
        <v>63</v>
      </c>
      <c r="F121" s="17">
        <v>771</v>
      </c>
      <c r="G121" s="17">
        <v>2</v>
      </c>
      <c r="H121" s="17">
        <v>135</v>
      </c>
      <c r="I121" s="17">
        <v>2</v>
      </c>
      <c r="J121" s="17">
        <v>5000</v>
      </c>
      <c r="K121" s="17">
        <v>65</v>
      </c>
      <c r="L121" s="17">
        <v>1</v>
      </c>
      <c r="M121" s="17">
        <f>(155+170+178+170)-(128+160+149+162)</f>
        <v>74</v>
      </c>
      <c r="N121" s="39">
        <f t="shared" si="139"/>
        <v>33.636363636363633</v>
      </c>
      <c r="O121" s="40">
        <f t="shared" si="140"/>
        <v>0.24915824915824913</v>
      </c>
      <c r="P121" s="17">
        <v>1</v>
      </c>
      <c r="R121" s="17">
        <f t="shared" si="108"/>
        <v>0.42736257001527178</v>
      </c>
      <c r="S121" s="17">
        <f t="shared" si="109"/>
        <v>1370.332305584104</v>
      </c>
      <c r="T121" s="17">
        <f t="shared" si="110"/>
        <v>30.728663822189002</v>
      </c>
      <c r="U121" s="91">
        <f t="shared" si="82"/>
        <v>0.92675320296695884</v>
      </c>
      <c r="V121" s="91">
        <f t="shared" si="83"/>
        <v>1</v>
      </c>
      <c r="W121" s="91">
        <f t="shared" si="84"/>
        <v>0.86060606060606071</v>
      </c>
      <c r="X121" s="17">
        <v>1459.5</v>
      </c>
      <c r="Y121" s="17">
        <v>1180</v>
      </c>
      <c r="Z121" s="93">
        <f t="shared" si="85"/>
        <v>0.1915039397053786</v>
      </c>
      <c r="AA121" s="16"/>
      <c r="AB121" s="17">
        <v>0.86899999999999999</v>
      </c>
      <c r="AC121" s="17">
        <v>0</v>
      </c>
      <c r="AD121" s="21">
        <v>2.3E-2</v>
      </c>
      <c r="AE121" s="16">
        <f t="shared" si="127"/>
        <v>0.86899999999999999</v>
      </c>
      <c r="AF121" s="17" t="str">
        <f t="shared" si="128"/>
        <v>-</v>
      </c>
      <c r="AG121" s="21">
        <f t="shared" si="129"/>
        <v>2.3E-2</v>
      </c>
      <c r="AH121" s="16"/>
      <c r="AI121" s="17">
        <v>11.864000000000001</v>
      </c>
      <c r="AJ121" s="17">
        <v>3.7000000000000002E-3</v>
      </c>
      <c r="AK121" s="17">
        <v>0.16500000000000001</v>
      </c>
      <c r="AL121" s="17">
        <f t="shared" si="132"/>
        <v>11.864000000000001</v>
      </c>
      <c r="AM121" s="17">
        <f t="shared" si="133"/>
        <v>3.7000000000000002E-3</v>
      </c>
      <c r="AN121" s="21">
        <f t="shared" si="134"/>
        <v>0.16500000000000001</v>
      </c>
    </row>
    <row r="122" spans="1:40" s="17" customFormat="1" x14ac:dyDescent="0.35">
      <c r="A122" s="161"/>
      <c r="B122" s="17">
        <v>126</v>
      </c>
      <c r="C122" s="38" t="s">
        <v>104</v>
      </c>
      <c r="D122" s="17" t="s">
        <v>63</v>
      </c>
      <c r="F122" s="17">
        <v>771</v>
      </c>
      <c r="G122" s="17">
        <v>3</v>
      </c>
      <c r="H122" s="17">
        <v>150</v>
      </c>
      <c r="I122" s="17">
        <v>1</v>
      </c>
      <c r="J122" s="17">
        <v>5000</v>
      </c>
      <c r="K122" s="17">
        <v>65</v>
      </c>
      <c r="L122" s="17">
        <v>1</v>
      </c>
      <c r="M122" s="17">
        <f>(128+160+149+162+164+168.5+174.5+185)-(162+146.5+156+127+172.5+168.5+139+145)</f>
        <v>74.5</v>
      </c>
      <c r="N122" s="39">
        <f t="shared" si="139"/>
        <v>33.86363636363636</v>
      </c>
      <c r="O122" s="40">
        <f t="shared" si="140"/>
        <v>0.22575757575757574</v>
      </c>
      <c r="P122" s="17">
        <v>1</v>
      </c>
      <c r="R122" s="17">
        <f t="shared" si="108"/>
        <v>0.41627451186365594</v>
      </c>
      <c r="S122" s="17">
        <f t="shared" si="109"/>
        <v>1334.7785969595711</v>
      </c>
      <c r="T122" s="17">
        <f t="shared" si="110"/>
        <v>29.931398840911605</v>
      </c>
      <c r="U122" s="91">
        <f t="shared" si="82"/>
        <v>0.94630815913688471</v>
      </c>
      <c r="V122" s="91">
        <f t="shared" si="83"/>
        <v>1</v>
      </c>
      <c r="W122" s="91">
        <f t="shared" si="84"/>
        <v>0.8666666666666667</v>
      </c>
      <c r="X122" s="17">
        <v>1508.5</v>
      </c>
      <c r="Y122" s="17">
        <v>1269.5</v>
      </c>
      <c r="Z122" s="93">
        <f t="shared" si="85"/>
        <v>0.15843553198541593</v>
      </c>
      <c r="AA122" s="16"/>
      <c r="AB122" s="17">
        <v>0.63700000000000001</v>
      </c>
      <c r="AC122" s="17">
        <v>0</v>
      </c>
      <c r="AD122" s="21">
        <v>2.1999999999999999E-2</v>
      </c>
      <c r="AE122" s="16">
        <f t="shared" si="127"/>
        <v>0.63700000000000001</v>
      </c>
      <c r="AF122" s="17" t="str">
        <f t="shared" si="128"/>
        <v>-</v>
      </c>
      <c r="AG122" s="21">
        <f t="shared" si="129"/>
        <v>2.1999999999999999E-2</v>
      </c>
      <c r="AH122" s="16"/>
      <c r="AI122" s="17">
        <v>11.864000000000001</v>
      </c>
      <c r="AJ122" s="17">
        <v>3.7000000000000002E-3</v>
      </c>
      <c r="AK122" s="17">
        <v>0.16500000000000001</v>
      </c>
      <c r="AL122" s="17">
        <f t="shared" si="132"/>
        <v>11.864000000000001</v>
      </c>
      <c r="AM122" s="17">
        <f t="shared" si="133"/>
        <v>3.7000000000000002E-3</v>
      </c>
      <c r="AN122" s="21">
        <f t="shared" si="134"/>
        <v>0.16500000000000001</v>
      </c>
    </row>
    <row r="123" spans="1:40" s="17" customFormat="1" x14ac:dyDescent="0.35">
      <c r="A123" s="161"/>
      <c r="B123" s="17">
        <v>127</v>
      </c>
      <c r="C123" s="44" t="s">
        <v>104</v>
      </c>
      <c r="D123" s="17" t="s">
        <v>63</v>
      </c>
      <c r="F123" s="17">
        <v>771</v>
      </c>
      <c r="G123" s="17">
        <v>4</v>
      </c>
      <c r="H123" s="17">
        <v>125</v>
      </c>
      <c r="I123" s="17">
        <v>2</v>
      </c>
      <c r="J123" s="17">
        <v>5000</v>
      </c>
      <c r="K123" s="17">
        <v>65</v>
      </c>
      <c r="L123" s="17">
        <v>1</v>
      </c>
      <c r="M123" s="17">
        <f>(139+144.5+172+168.5+164+170+164+170)-(134.5+140.5+167+158.5+163.5+155.5+142.5+148.5)</f>
        <v>81.5</v>
      </c>
      <c r="N123" s="39">
        <f t="shared" si="139"/>
        <v>37.04545454545454</v>
      </c>
      <c r="O123" s="40">
        <f t="shared" si="140"/>
        <v>0.29636363636363633</v>
      </c>
      <c r="P123" s="17">
        <v>1</v>
      </c>
      <c r="R123" s="17">
        <f t="shared" si="108"/>
        <v>0.45478459058114884</v>
      </c>
      <c r="S123" s="17">
        <f t="shared" si="109"/>
        <v>1458.260643960743</v>
      </c>
      <c r="T123" s="17">
        <f t="shared" si="110"/>
        <v>32.700390197907574</v>
      </c>
      <c r="U123" s="91">
        <f t="shared" si="82"/>
        <v>0.96847606203641268</v>
      </c>
      <c r="V123" s="91">
        <f t="shared" si="83"/>
        <v>1</v>
      </c>
      <c r="W123" s="91">
        <f t="shared" si="84"/>
        <v>0.93939393939393934</v>
      </c>
      <c r="X123" s="17">
        <v>1510.5</v>
      </c>
      <c r="Y123" s="17">
        <v>1239</v>
      </c>
      <c r="Z123" s="93">
        <f t="shared" si="85"/>
        <v>0.17974180734856005</v>
      </c>
      <c r="AA123" s="16"/>
      <c r="AB123" s="17">
        <v>0.374</v>
      </c>
      <c r="AC123" s="17">
        <v>0</v>
      </c>
      <c r="AD123" s="118">
        <v>0.01</v>
      </c>
      <c r="AE123" s="16">
        <f t="shared" si="127"/>
        <v>0.374</v>
      </c>
      <c r="AF123" s="17" t="str">
        <f t="shared" si="128"/>
        <v>-</v>
      </c>
      <c r="AG123" s="21">
        <f t="shared" si="129"/>
        <v>0.01</v>
      </c>
      <c r="AH123" s="16"/>
      <c r="AI123" s="17">
        <v>11.864000000000001</v>
      </c>
      <c r="AJ123" s="17">
        <v>3.7000000000000002E-3</v>
      </c>
      <c r="AK123" s="17">
        <v>0.16500000000000001</v>
      </c>
      <c r="AL123" s="17">
        <f t="shared" si="132"/>
        <v>11.864000000000001</v>
      </c>
      <c r="AM123" s="17">
        <f t="shared" si="133"/>
        <v>3.7000000000000002E-3</v>
      </c>
      <c r="AN123" s="21">
        <f t="shared" si="134"/>
        <v>0.16500000000000001</v>
      </c>
    </row>
    <row r="124" spans="1:40" s="17" customFormat="1" ht="15" thickBot="1" x14ac:dyDescent="0.4">
      <c r="A124" s="161"/>
      <c r="B124" s="17">
        <v>128</v>
      </c>
      <c r="C124" s="45">
        <v>43355</v>
      </c>
      <c r="D124" s="17" t="s">
        <v>63</v>
      </c>
      <c r="F124" s="17">
        <v>771</v>
      </c>
      <c r="G124" s="17">
        <v>5</v>
      </c>
      <c r="H124" s="17">
        <v>135</v>
      </c>
      <c r="I124" s="17">
        <v>1</v>
      </c>
      <c r="J124" s="17">
        <v>5000</v>
      </c>
      <c r="K124" s="17">
        <v>65</v>
      </c>
      <c r="L124" s="17">
        <v>1</v>
      </c>
      <c r="M124" s="17">
        <f>(167.5+176+142+148)-(140.5+145.5+132.5+139)</f>
        <v>76</v>
      </c>
      <c r="N124" s="39">
        <f t="shared" si="139"/>
        <v>34.54545454545454</v>
      </c>
      <c r="O124" s="40">
        <f t="shared" si="140"/>
        <v>0.25589225589225584</v>
      </c>
      <c r="P124" s="17">
        <v>1</v>
      </c>
      <c r="R124" s="17">
        <f t="shared" si="108"/>
        <v>1.1408608936303335</v>
      </c>
      <c r="S124" s="17">
        <f t="shared" si="109"/>
        <v>3658.1550383865606</v>
      </c>
      <c r="T124" s="17">
        <f t="shared" si="110"/>
        <v>82.031355406244089</v>
      </c>
      <c r="U124" s="91">
        <f t="shared" si="82"/>
        <v>0.9699932569116656</v>
      </c>
      <c r="V124" s="91">
        <f t="shared" si="83"/>
        <v>1</v>
      </c>
      <c r="W124" s="91">
        <f t="shared" si="84"/>
        <v>0.93939393939393934</v>
      </c>
      <c r="X124" s="17">
        <v>561.5</v>
      </c>
      <c r="Y124" s="17">
        <v>368.5</v>
      </c>
      <c r="Z124" s="93">
        <f t="shared" si="85"/>
        <v>0.34372217275155836</v>
      </c>
      <c r="AA124" s="16"/>
      <c r="AB124" s="17">
        <v>0.35599999999999998</v>
      </c>
      <c r="AC124" s="17">
        <v>0</v>
      </c>
      <c r="AD124" s="118">
        <v>0.01</v>
      </c>
      <c r="AE124" s="16">
        <f t="shared" ref="AE124:AE151" si="141">IF(AB124,AB124/(1-$AA124),"-")</f>
        <v>0.35599999999999998</v>
      </c>
      <c r="AF124" s="17" t="str">
        <f t="shared" ref="AF124:AF151" si="142">IF(AC124,AC124/(1-$AA124),"-")</f>
        <v>-</v>
      </c>
      <c r="AG124" s="21">
        <f t="shared" ref="AG124:AG151" si="143">IF(AD124,AD124/(1-$AA124),"-")</f>
        <v>0.01</v>
      </c>
      <c r="AH124" s="16"/>
      <c r="AI124" s="17">
        <v>11.864000000000001</v>
      </c>
      <c r="AJ124" s="17">
        <v>3.7000000000000002E-3</v>
      </c>
      <c r="AK124" s="17">
        <v>0.16500000000000001</v>
      </c>
      <c r="AL124" s="17">
        <f t="shared" si="132"/>
        <v>11.864000000000001</v>
      </c>
      <c r="AM124" s="17">
        <f t="shared" si="133"/>
        <v>3.7000000000000002E-3</v>
      </c>
      <c r="AN124" s="21">
        <f t="shared" si="134"/>
        <v>0.16500000000000001</v>
      </c>
    </row>
    <row r="125" spans="1:40" s="155" customFormat="1" x14ac:dyDescent="0.35">
      <c r="A125" s="154"/>
      <c r="B125" s="155">
        <v>129</v>
      </c>
      <c r="C125" s="156" t="s">
        <v>105</v>
      </c>
      <c r="D125" s="155" t="s">
        <v>63</v>
      </c>
      <c r="F125" s="155">
        <v>772</v>
      </c>
      <c r="G125" s="155">
        <v>1</v>
      </c>
      <c r="H125" s="155">
        <v>125</v>
      </c>
      <c r="I125" s="155">
        <v>1</v>
      </c>
      <c r="J125" s="155">
        <v>5000</v>
      </c>
      <c r="K125" s="155">
        <v>65</v>
      </c>
      <c r="L125" s="155">
        <v>1</v>
      </c>
      <c r="M125" s="155">
        <f>(176+172.5+158+167)-(157+153.5+140+148)</f>
        <v>75</v>
      </c>
      <c r="N125" s="185">
        <f t="shared" si="139"/>
        <v>34.090909090909086</v>
      </c>
      <c r="O125" s="179">
        <f t="shared" si="140"/>
        <v>0.27272727272727271</v>
      </c>
      <c r="P125" s="155">
        <v>1</v>
      </c>
      <c r="R125" s="155">
        <f t="shared" si="108"/>
        <v>0.4021445564908544</v>
      </c>
      <c r="S125" s="155">
        <f t="shared" si="109"/>
        <v>993.37748344370868</v>
      </c>
      <c r="T125" s="155">
        <f t="shared" si="110"/>
        <v>22.576760987357012</v>
      </c>
      <c r="U125" s="157">
        <f t="shared" ref="U125:U179" si="144">IF(AB125&lt;&gt;"",(AI125-AB125)/AI125,"-")</f>
        <v>0.95587401829811347</v>
      </c>
      <c r="V125" s="157">
        <f t="shared" ref="V125:V179" si="145">IF(AC125&lt;&gt;"",(AJ125-AC125)/AJ125,"-")</f>
        <v>1</v>
      </c>
      <c r="W125" s="157">
        <f t="shared" ref="W125:W179" si="146">IF(AD125&lt;&gt;"",(AK125-AD125)/AK125,"-")</f>
        <v>0.8622727272727273</v>
      </c>
      <c r="X125" s="155">
        <v>1510</v>
      </c>
      <c r="Y125" s="155">
        <v>1284.5</v>
      </c>
      <c r="Z125" s="158">
        <f t="shared" si="85"/>
        <v>0.14933774834437086</v>
      </c>
      <c r="AA125" s="159"/>
      <c r="AB125" s="200">
        <v>0.54500000000000004</v>
      </c>
      <c r="AC125" s="155">
        <v>0</v>
      </c>
      <c r="AD125" s="160">
        <v>3.0300000000000001E-2</v>
      </c>
      <c r="AE125" s="159">
        <f t="shared" si="141"/>
        <v>0.54500000000000004</v>
      </c>
      <c r="AF125" s="155" t="str">
        <f t="shared" si="142"/>
        <v>-</v>
      </c>
      <c r="AG125" s="160">
        <f t="shared" si="143"/>
        <v>3.0300000000000001E-2</v>
      </c>
      <c r="AH125" s="159"/>
      <c r="AI125" s="17">
        <v>12.351000000000001</v>
      </c>
      <c r="AJ125" s="17">
        <v>5.0000000000000001E-3</v>
      </c>
      <c r="AK125" s="40">
        <v>0.22</v>
      </c>
      <c r="AL125" s="155">
        <f t="shared" si="132"/>
        <v>12.351000000000001</v>
      </c>
      <c r="AM125" s="155">
        <f t="shared" si="133"/>
        <v>5.0000000000000001E-3</v>
      </c>
      <c r="AN125" s="160">
        <f t="shared" si="134"/>
        <v>0.22</v>
      </c>
    </row>
    <row r="126" spans="1:40" s="17" customFormat="1" x14ac:dyDescent="0.35">
      <c r="A126" s="161"/>
      <c r="B126" s="17">
        <v>130</v>
      </c>
      <c r="C126" s="38" t="s">
        <v>106</v>
      </c>
      <c r="D126" s="17" t="s">
        <v>63</v>
      </c>
      <c r="F126" s="17">
        <v>772</v>
      </c>
      <c r="G126" s="17">
        <v>2</v>
      </c>
      <c r="H126" s="17">
        <v>265</v>
      </c>
      <c r="I126" s="17">
        <v>2</v>
      </c>
      <c r="J126" s="17">
        <v>5000</v>
      </c>
      <c r="K126" s="17">
        <v>65</v>
      </c>
      <c r="L126" s="17">
        <v>1</v>
      </c>
      <c r="M126" s="17">
        <f>(140+148+165+165+175+162.5)-(127.5+133+158+154+160.5+147.5)</f>
        <v>75</v>
      </c>
      <c r="N126" s="39">
        <f t="shared" si="139"/>
        <v>34.090909090909086</v>
      </c>
      <c r="O126" s="40">
        <f t="shared" si="140"/>
        <v>0.12864493996569468</v>
      </c>
      <c r="P126" s="17">
        <v>1</v>
      </c>
      <c r="R126" s="17">
        <f t="shared" si="108"/>
        <v>0.40294510968891184</v>
      </c>
      <c r="S126" s="17">
        <f t="shared" si="109"/>
        <v>995.35500995355005</v>
      </c>
      <c r="T126" s="17">
        <f t="shared" si="110"/>
        <v>22.621704771671592</v>
      </c>
      <c r="U126" s="91">
        <f t="shared" si="144"/>
        <v>0.85620597522467823</v>
      </c>
      <c r="V126" s="91">
        <f t="shared" si="145"/>
        <v>1</v>
      </c>
      <c r="W126" s="91">
        <f t="shared" si="146"/>
        <v>1</v>
      </c>
      <c r="X126" s="17">
        <v>1507</v>
      </c>
      <c r="Y126" s="17">
        <v>1270</v>
      </c>
      <c r="Z126" s="93">
        <f t="shared" ref="Z126:Z180" si="147">IF(Y126,1-Y126/X126,"-")</f>
        <v>0.15726609157266092</v>
      </c>
      <c r="AA126" s="16"/>
      <c r="AB126" s="17">
        <v>1.776</v>
      </c>
      <c r="AC126" s="17">
        <v>0</v>
      </c>
      <c r="AD126" s="21">
        <v>0</v>
      </c>
      <c r="AE126" s="16">
        <f t="shared" si="141"/>
        <v>1.776</v>
      </c>
      <c r="AF126" s="17" t="str">
        <f t="shared" si="142"/>
        <v>-</v>
      </c>
      <c r="AG126" s="21" t="str">
        <f t="shared" si="143"/>
        <v>-</v>
      </c>
      <c r="AH126" s="16"/>
      <c r="AI126" s="17">
        <v>12.351000000000001</v>
      </c>
      <c r="AJ126" s="17">
        <v>5.0000000000000001E-3</v>
      </c>
      <c r="AK126" s="40">
        <v>0.22</v>
      </c>
      <c r="AL126" s="17">
        <f t="shared" si="132"/>
        <v>12.351000000000001</v>
      </c>
      <c r="AM126" s="17">
        <f t="shared" si="133"/>
        <v>5.0000000000000001E-3</v>
      </c>
      <c r="AN126" s="21">
        <f t="shared" si="134"/>
        <v>0.22</v>
      </c>
    </row>
    <row r="127" spans="1:40" s="17" customFormat="1" x14ac:dyDescent="0.35">
      <c r="A127" s="161"/>
      <c r="B127" s="17">
        <v>131</v>
      </c>
      <c r="C127" s="38" t="s">
        <v>106</v>
      </c>
      <c r="D127" s="17" t="s">
        <v>63</v>
      </c>
      <c r="F127" s="17">
        <v>772</v>
      </c>
      <c r="G127" s="17">
        <v>3</v>
      </c>
      <c r="H127" s="17">
        <v>135</v>
      </c>
      <c r="I127" s="17">
        <v>1</v>
      </c>
      <c r="J127" s="17">
        <v>5000</v>
      </c>
      <c r="K127" s="17">
        <v>65</v>
      </c>
      <c r="L127" s="17">
        <v>1</v>
      </c>
      <c r="M127" s="17">
        <f>(147.5+153+148.5+170)-(128+140+125.5+131)</f>
        <v>94.5</v>
      </c>
      <c r="N127" s="39">
        <f t="shared" si="139"/>
        <v>42.954545454545453</v>
      </c>
      <c r="O127" s="40">
        <f t="shared" si="140"/>
        <v>0.31818181818181818</v>
      </c>
      <c r="P127" s="17">
        <v>1</v>
      </c>
      <c r="R127" s="17">
        <f t="shared" si="108"/>
        <v>0.50737415993335522</v>
      </c>
      <c r="S127" s="17">
        <f t="shared" si="109"/>
        <v>1253.3156498673738</v>
      </c>
      <c r="T127" s="17">
        <f t="shared" si="110"/>
        <v>28.484446587894862</v>
      </c>
      <c r="U127" s="91">
        <f t="shared" si="144"/>
        <v>0.97660108493239417</v>
      </c>
      <c r="V127" s="91">
        <f t="shared" si="145"/>
        <v>1</v>
      </c>
      <c r="W127" s="91">
        <f t="shared" si="146"/>
        <v>0.94090909090909081</v>
      </c>
      <c r="X127" s="17">
        <v>1508</v>
      </c>
      <c r="Y127" s="17">
        <v>1243.5</v>
      </c>
      <c r="Z127" s="93">
        <f t="shared" si="147"/>
        <v>0.1753978779840849</v>
      </c>
      <c r="AA127" s="16"/>
      <c r="AB127" s="17">
        <v>0.28899999999999998</v>
      </c>
      <c r="AC127" s="17">
        <v>0</v>
      </c>
      <c r="AD127" s="21">
        <v>1.2999999999999999E-2</v>
      </c>
      <c r="AE127" s="16">
        <f t="shared" si="141"/>
        <v>0.28899999999999998</v>
      </c>
      <c r="AF127" s="17" t="str">
        <f t="shared" si="142"/>
        <v>-</v>
      </c>
      <c r="AG127" s="21">
        <f t="shared" si="143"/>
        <v>1.2999999999999999E-2</v>
      </c>
      <c r="AH127" s="16"/>
      <c r="AI127" s="17">
        <v>12.351000000000001</v>
      </c>
      <c r="AJ127" s="17">
        <v>5.0000000000000001E-3</v>
      </c>
      <c r="AK127" s="40">
        <v>0.22</v>
      </c>
      <c r="AL127" s="17">
        <f t="shared" si="132"/>
        <v>12.351000000000001</v>
      </c>
      <c r="AM127" s="17">
        <f t="shared" si="133"/>
        <v>5.0000000000000001E-3</v>
      </c>
      <c r="AN127" s="21">
        <f t="shared" si="134"/>
        <v>0.22</v>
      </c>
    </row>
    <row r="128" spans="1:40" s="17" customFormat="1" x14ac:dyDescent="0.35">
      <c r="A128" s="161"/>
      <c r="B128" s="17">
        <v>132</v>
      </c>
      <c r="C128" s="38" t="s">
        <v>107</v>
      </c>
      <c r="D128" s="17" t="s">
        <v>63</v>
      </c>
      <c r="F128" s="17">
        <v>772</v>
      </c>
      <c r="G128" s="17">
        <v>4</v>
      </c>
      <c r="H128" s="17">
        <v>239</v>
      </c>
      <c r="I128" s="17">
        <v>2</v>
      </c>
      <c r="J128" s="17">
        <v>5000</v>
      </c>
      <c r="K128" s="17">
        <v>65</v>
      </c>
      <c r="L128" s="17">
        <v>1</v>
      </c>
      <c r="M128" s="17">
        <f>(128+146+125.5+131+163+179+176.5+166)-(125.5+143+114+119.5+150.5+168+165.5+154)</f>
        <v>75</v>
      </c>
      <c r="N128" s="39">
        <f t="shared" si="139"/>
        <v>34.090909090909086</v>
      </c>
      <c r="O128" s="40">
        <f t="shared" si="140"/>
        <v>0.1426397869912514</v>
      </c>
      <c r="P128" s="17">
        <v>1</v>
      </c>
      <c r="R128" s="17">
        <f t="shared" si="108"/>
        <v>0.40134717799153347</v>
      </c>
      <c r="S128" s="17">
        <f t="shared" si="109"/>
        <v>991.40779907468595</v>
      </c>
      <c r="T128" s="17">
        <f t="shared" si="110"/>
        <v>22.53199543351559</v>
      </c>
      <c r="U128" s="91">
        <f t="shared" si="144"/>
        <v>0.84908104606914414</v>
      </c>
      <c r="V128" s="91">
        <f t="shared" si="145"/>
        <v>1</v>
      </c>
      <c r="W128" s="91">
        <f t="shared" si="146"/>
        <v>0.81818181818181812</v>
      </c>
      <c r="X128" s="17">
        <v>1513</v>
      </c>
      <c r="Y128" s="17">
        <v>1286.5</v>
      </c>
      <c r="Z128" s="93">
        <f t="shared" si="147"/>
        <v>0.14970257766027761</v>
      </c>
      <c r="AA128" s="16"/>
      <c r="AB128" s="17">
        <v>1.8640000000000001</v>
      </c>
      <c r="AC128" s="17">
        <v>0</v>
      </c>
      <c r="AD128" s="118">
        <v>0.04</v>
      </c>
      <c r="AE128" s="16">
        <f t="shared" si="141"/>
        <v>1.8640000000000001</v>
      </c>
      <c r="AF128" s="17" t="str">
        <f t="shared" si="142"/>
        <v>-</v>
      </c>
      <c r="AG128" s="21">
        <f t="shared" si="143"/>
        <v>0.04</v>
      </c>
      <c r="AH128" s="16"/>
      <c r="AI128" s="17">
        <v>12.351000000000001</v>
      </c>
      <c r="AJ128" s="17">
        <v>5.0000000000000001E-3</v>
      </c>
      <c r="AK128" s="40">
        <v>0.22</v>
      </c>
      <c r="AL128" s="17">
        <f t="shared" si="132"/>
        <v>12.351000000000001</v>
      </c>
      <c r="AM128" s="17">
        <f t="shared" si="133"/>
        <v>5.0000000000000001E-3</v>
      </c>
      <c r="AN128" s="21">
        <f t="shared" si="134"/>
        <v>0.22</v>
      </c>
    </row>
    <row r="129" spans="1:40" s="17" customFormat="1" x14ac:dyDescent="0.35">
      <c r="A129" s="161"/>
      <c r="B129" s="17">
        <v>133</v>
      </c>
      <c r="C129" s="45">
        <v>43361</v>
      </c>
      <c r="D129" s="17" t="s">
        <v>63</v>
      </c>
      <c r="F129" s="17">
        <v>772</v>
      </c>
      <c r="G129" s="17">
        <v>5</v>
      </c>
      <c r="H129" s="17">
        <v>135</v>
      </c>
      <c r="I129" s="17">
        <v>1</v>
      </c>
      <c r="J129" s="17">
        <v>5000</v>
      </c>
      <c r="K129" s="17">
        <v>65</v>
      </c>
      <c r="L129" s="17">
        <v>1</v>
      </c>
      <c r="M129" s="17">
        <f>(165.5+154+160.5+159.5)-(150+135+140.5+137.5)</f>
        <v>76.5</v>
      </c>
      <c r="N129" s="39">
        <f t="shared" si="139"/>
        <v>34.772727272727273</v>
      </c>
      <c r="O129" s="40">
        <f t="shared" si="140"/>
        <v>0.25757575757575757</v>
      </c>
      <c r="P129" s="17">
        <v>1</v>
      </c>
      <c r="R129" s="17">
        <f t="shared" si="108"/>
        <v>0.44289098742024596</v>
      </c>
      <c r="S129" s="17">
        <f t="shared" si="109"/>
        <v>1094.0293171254916</v>
      </c>
      <c r="T129" s="17">
        <f t="shared" si="110"/>
        <v>24.86430266194299</v>
      </c>
      <c r="U129" s="91">
        <f t="shared" si="144"/>
        <v>0.97692494534855479</v>
      </c>
      <c r="V129" s="91">
        <f t="shared" si="145"/>
        <v>1</v>
      </c>
      <c r="W129" s="91">
        <f t="shared" si="146"/>
        <v>0.97272727272727266</v>
      </c>
      <c r="X129" s="17">
        <v>1398.5</v>
      </c>
      <c r="Y129" s="17">
        <v>1131.5</v>
      </c>
      <c r="Z129" s="93">
        <f t="shared" si="147"/>
        <v>0.19091884161601713</v>
      </c>
      <c r="AA129" s="16"/>
      <c r="AB129" s="17">
        <v>0.28499999999999998</v>
      </c>
      <c r="AC129" s="17">
        <v>0</v>
      </c>
      <c r="AD129" s="21">
        <v>6.0000000000000001E-3</v>
      </c>
      <c r="AE129" s="16">
        <f t="shared" si="141"/>
        <v>0.28499999999999998</v>
      </c>
      <c r="AF129" s="17" t="str">
        <f t="shared" si="142"/>
        <v>-</v>
      </c>
      <c r="AG129" s="21">
        <f t="shared" si="143"/>
        <v>6.0000000000000001E-3</v>
      </c>
      <c r="AH129" s="16"/>
      <c r="AI129" s="17">
        <v>12.351000000000001</v>
      </c>
      <c r="AJ129" s="17">
        <v>5.0000000000000001E-3</v>
      </c>
      <c r="AK129" s="40">
        <v>0.22</v>
      </c>
      <c r="AL129" s="17">
        <f t="shared" si="132"/>
        <v>12.351000000000001</v>
      </c>
      <c r="AM129" s="17">
        <f t="shared" si="133"/>
        <v>5.0000000000000001E-3</v>
      </c>
      <c r="AN129" s="21">
        <f t="shared" si="134"/>
        <v>0.22</v>
      </c>
    </row>
    <row r="130" spans="1:40" s="163" customFormat="1" ht="15" thickBot="1" x14ac:dyDescent="0.4">
      <c r="A130" s="162"/>
      <c r="B130" s="163">
        <v>134</v>
      </c>
      <c r="C130" s="164" t="s">
        <v>107</v>
      </c>
      <c r="D130" s="163" t="s">
        <v>63</v>
      </c>
      <c r="F130" s="163">
        <v>772</v>
      </c>
      <c r="G130" s="163">
        <v>6</v>
      </c>
      <c r="H130" s="163">
        <v>145</v>
      </c>
      <c r="I130" s="163">
        <v>2</v>
      </c>
      <c r="J130" s="163">
        <v>5000</v>
      </c>
      <c r="K130" s="163">
        <v>65</v>
      </c>
      <c r="L130" s="163">
        <v>1</v>
      </c>
      <c r="M130" s="163">
        <f>(140.5+137.5+162.5+160)-(127+124.5+129+151.5)</f>
        <v>68.5</v>
      </c>
      <c r="N130" s="187">
        <f t="shared" si="139"/>
        <v>31.136363636363633</v>
      </c>
      <c r="O130" s="180">
        <f t="shared" si="140"/>
        <v>0.2147335423197492</v>
      </c>
      <c r="P130" s="163">
        <v>1</v>
      </c>
      <c r="R130" s="163">
        <f t="shared" si="108"/>
        <v>0.41747155639825889</v>
      </c>
      <c r="S130" s="163">
        <f t="shared" si="109"/>
        <v>1031.2382386149793</v>
      </c>
      <c r="T130" s="163">
        <f t="shared" si="110"/>
        <v>23.437232695794982</v>
      </c>
      <c r="U130" s="165">
        <f t="shared" si="144"/>
        <v>0.90632337462553636</v>
      </c>
      <c r="V130" s="165">
        <f t="shared" si="145"/>
        <v>1</v>
      </c>
      <c r="W130" s="165">
        <f t="shared" si="146"/>
        <v>0.90909090909090917</v>
      </c>
      <c r="X130" s="163">
        <v>1328.5</v>
      </c>
      <c r="Y130" s="163">
        <v>1111.5</v>
      </c>
      <c r="Z130" s="166">
        <f t="shared" si="147"/>
        <v>0.16334211516748209</v>
      </c>
      <c r="AA130" s="167"/>
      <c r="AB130" s="163">
        <v>1.157</v>
      </c>
      <c r="AC130" s="163">
        <v>0</v>
      </c>
      <c r="AD130" s="202">
        <v>0.02</v>
      </c>
      <c r="AE130" s="167">
        <f t="shared" si="141"/>
        <v>1.157</v>
      </c>
      <c r="AF130" s="163" t="str">
        <f t="shared" si="142"/>
        <v>-</v>
      </c>
      <c r="AG130" s="168">
        <f t="shared" si="143"/>
        <v>0.02</v>
      </c>
      <c r="AH130" s="167"/>
      <c r="AI130" s="163">
        <v>12.351000000000001</v>
      </c>
      <c r="AJ130" s="163">
        <v>5.0000000000000001E-3</v>
      </c>
      <c r="AK130" s="180">
        <v>0.22</v>
      </c>
      <c r="AL130" s="163">
        <f t="shared" si="132"/>
        <v>12.351000000000001</v>
      </c>
      <c r="AM130" s="163">
        <f t="shared" si="133"/>
        <v>5.0000000000000001E-3</v>
      </c>
      <c r="AN130" s="168">
        <f t="shared" si="134"/>
        <v>0.22</v>
      </c>
    </row>
    <row r="131" spans="1:40" s="17" customFormat="1" x14ac:dyDescent="0.35">
      <c r="A131" s="161"/>
      <c r="B131" s="17">
        <v>135</v>
      </c>
      <c r="C131" s="38" t="s">
        <v>108</v>
      </c>
      <c r="D131" s="17" t="s">
        <v>63</v>
      </c>
      <c r="F131" s="17">
        <v>773</v>
      </c>
      <c r="G131" s="17">
        <v>1</v>
      </c>
      <c r="H131" s="17">
        <v>220</v>
      </c>
      <c r="I131" s="17">
        <v>1</v>
      </c>
      <c r="J131" s="17">
        <v>5000</v>
      </c>
      <c r="K131" s="17">
        <v>65</v>
      </c>
      <c r="L131" s="17">
        <v>1</v>
      </c>
      <c r="M131" s="17">
        <f>(162+168+176.5+170+168.5+153+124+166)-(132.5+166+170.5+142+168+151+123+165)</f>
        <v>70</v>
      </c>
      <c r="N131" s="39">
        <f t="shared" si="139"/>
        <v>31.818181818181817</v>
      </c>
      <c r="O131" s="40">
        <f t="shared" si="140"/>
        <v>0.14462809917355371</v>
      </c>
      <c r="P131" s="17">
        <v>1</v>
      </c>
      <c r="R131" s="17">
        <f t="shared" si="108"/>
        <v>0.43412904225303545</v>
      </c>
      <c r="S131" s="17">
        <f t="shared" si="109"/>
        <v>1678.053457988733</v>
      </c>
      <c r="T131" s="17">
        <f t="shared" si="110"/>
        <v>2188.7653799853038</v>
      </c>
      <c r="U131" s="91">
        <f t="shared" si="144"/>
        <v>0.83612452569851681</v>
      </c>
      <c r="V131" s="91">
        <f t="shared" si="145"/>
        <v>1</v>
      </c>
      <c r="W131" s="91">
        <f t="shared" si="146"/>
        <v>-14.478260869565217</v>
      </c>
      <c r="X131" s="17">
        <v>1390.5</v>
      </c>
      <c r="Y131" s="17">
        <v>1152.5</v>
      </c>
      <c r="Z131" s="93">
        <f t="shared" si="147"/>
        <v>0.17116145271485073</v>
      </c>
      <c r="AB131" s="17">
        <v>1.9003000000000001</v>
      </c>
      <c r="AC131" s="17">
        <v>0</v>
      </c>
      <c r="AD131" s="17">
        <v>3.56E-2</v>
      </c>
      <c r="AE131" s="17">
        <f t="shared" si="141"/>
        <v>1.9003000000000001</v>
      </c>
      <c r="AF131" s="17" t="str">
        <f t="shared" si="142"/>
        <v>-</v>
      </c>
      <c r="AG131" s="17">
        <f t="shared" si="143"/>
        <v>3.56E-2</v>
      </c>
      <c r="AI131" s="17">
        <v>11.596</v>
      </c>
      <c r="AJ131" s="110">
        <v>3.0000000000000001E-3</v>
      </c>
      <c r="AK131" s="17">
        <v>2.3E-3</v>
      </c>
      <c r="AL131" s="17">
        <f t="shared" si="132"/>
        <v>11.596</v>
      </c>
      <c r="AM131" s="17">
        <f t="shared" si="133"/>
        <v>3.0000000000000001E-3</v>
      </c>
      <c r="AN131" s="17">
        <f t="shared" si="134"/>
        <v>2.3E-3</v>
      </c>
    </row>
    <row r="132" spans="1:40" s="163" customFormat="1" ht="15" thickBot="1" x14ac:dyDescent="0.4">
      <c r="A132" s="162"/>
      <c r="B132" s="163">
        <v>136</v>
      </c>
      <c r="C132" s="164" t="s">
        <v>108</v>
      </c>
      <c r="D132" s="163" t="s">
        <v>63</v>
      </c>
      <c r="F132" s="163">
        <v>773</v>
      </c>
      <c r="G132" s="163">
        <v>2</v>
      </c>
      <c r="H132" s="163">
        <v>120</v>
      </c>
      <c r="I132" s="163">
        <v>2</v>
      </c>
      <c r="J132" s="163">
        <v>5000</v>
      </c>
      <c r="K132" s="163">
        <v>65</v>
      </c>
      <c r="L132" s="163">
        <v>1</v>
      </c>
      <c r="M132" s="163">
        <f>(162+168+176.5+170+168.5+153+124+166)-(132.5+166+170.5+142+168+151+123+165)</f>
        <v>70</v>
      </c>
      <c r="N132" s="187">
        <f t="shared" si="139"/>
        <v>31.818181818181817</v>
      </c>
      <c r="O132" s="180">
        <f t="shared" si="140"/>
        <v>0.26515151515151514</v>
      </c>
      <c r="P132" s="163">
        <v>1</v>
      </c>
      <c r="R132" s="163">
        <f t="shared" si="108"/>
        <v>0.40216950916245559</v>
      </c>
      <c r="S132" s="163">
        <f t="shared" si="109"/>
        <v>1554.5192094159449</v>
      </c>
      <c r="T132" s="163">
        <f t="shared" si="110"/>
        <v>2027.6337514121021</v>
      </c>
      <c r="U132" s="165">
        <f t="shared" si="144"/>
        <v>0.81885995170748527</v>
      </c>
      <c r="V132" s="165">
        <f t="shared" si="145"/>
        <v>1</v>
      </c>
      <c r="W132" s="165">
        <f t="shared" si="146"/>
        <v>-14.521739130434783</v>
      </c>
      <c r="X132" s="163">
        <v>1501</v>
      </c>
      <c r="Y132" s="163">
        <v>1279</v>
      </c>
      <c r="Z132" s="166">
        <f t="shared" si="147"/>
        <v>0.1479013990672885</v>
      </c>
      <c r="AB132" s="163">
        <v>2.1004999999999998</v>
      </c>
      <c r="AC132" s="163">
        <v>0</v>
      </c>
      <c r="AD132" s="163">
        <v>3.5700000000000003E-2</v>
      </c>
      <c r="AE132" s="163">
        <f t="shared" si="141"/>
        <v>2.1004999999999998</v>
      </c>
      <c r="AF132" s="163" t="str">
        <f t="shared" si="142"/>
        <v>-</v>
      </c>
      <c r="AG132" s="163">
        <f t="shared" si="143"/>
        <v>3.5700000000000003E-2</v>
      </c>
      <c r="AI132" s="163">
        <v>11.596</v>
      </c>
      <c r="AJ132" s="201">
        <v>3.0000000000000001E-3</v>
      </c>
      <c r="AK132" s="163">
        <v>2.3E-3</v>
      </c>
      <c r="AL132" s="163">
        <f t="shared" si="132"/>
        <v>11.596</v>
      </c>
      <c r="AM132" s="163">
        <f t="shared" si="133"/>
        <v>3.0000000000000001E-3</v>
      </c>
      <c r="AN132" s="163">
        <f t="shared" si="134"/>
        <v>2.3E-3</v>
      </c>
    </row>
    <row r="133" spans="1:40" s="155" customFormat="1" x14ac:dyDescent="0.35">
      <c r="A133" s="154"/>
      <c r="B133" s="155">
        <v>139</v>
      </c>
      <c r="C133" s="156" t="s">
        <v>109</v>
      </c>
      <c r="D133" s="155" t="s">
        <v>80</v>
      </c>
      <c r="F133" s="155">
        <v>476</v>
      </c>
      <c r="G133" s="155">
        <v>1</v>
      </c>
      <c r="H133" s="155">
        <v>150</v>
      </c>
      <c r="I133" s="155">
        <v>1</v>
      </c>
      <c r="J133" s="155">
        <v>5000</v>
      </c>
      <c r="K133" s="155">
        <v>65</v>
      </c>
      <c r="L133" s="155">
        <v>1</v>
      </c>
      <c r="M133" s="155">
        <f>(160.5+180+131.5+156.5+156+179.5+186+175.5)-(131.5+155.5+138+149+156.5+179.5+173+167)</f>
        <v>75.5</v>
      </c>
      <c r="N133" s="185">
        <f t="shared" si="139"/>
        <v>34.318181818181813</v>
      </c>
      <c r="O133" s="179">
        <f t="shared" si="140"/>
        <v>0.22878787878787876</v>
      </c>
      <c r="P133" s="155">
        <v>1</v>
      </c>
      <c r="R133" s="155">
        <f t="shared" si="108"/>
        <v>0.4161338224641935</v>
      </c>
      <c r="S133" s="155" t="str">
        <f t="shared" si="109"/>
        <v/>
      </c>
      <c r="T133" s="155">
        <f t="shared" si="110"/>
        <v>19.727112630055235</v>
      </c>
      <c r="U133" s="157">
        <f t="shared" si="144"/>
        <v>0.86550559267322269</v>
      </c>
      <c r="V133" s="157" t="e">
        <f t="shared" si="145"/>
        <v>#DIV/0!</v>
      </c>
      <c r="W133" s="157">
        <f t="shared" si="146"/>
        <v>0.7469750889679716</v>
      </c>
      <c r="X133" s="155">
        <v>1362</v>
      </c>
      <c r="Y133" s="155">
        <v>1100</v>
      </c>
      <c r="Z133" s="158">
        <f t="shared" si="147"/>
        <v>0.19236417033773867</v>
      </c>
      <c r="AA133" s="159"/>
      <c r="AB133" s="155">
        <v>1.7916000000000001</v>
      </c>
      <c r="AC133" s="155">
        <v>4.3E-3</v>
      </c>
      <c r="AD133" s="160">
        <v>7.1099999999999997E-2</v>
      </c>
      <c r="AE133" s="159">
        <f t="shared" si="141"/>
        <v>1.7916000000000001</v>
      </c>
      <c r="AF133" s="155">
        <f t="shared" si="142"/>
        <v>4.3E-3</v>
      </c>
      <c r="AG133" s="160">
        <f t="shared" si="143"/>
        <v>7.1099999999999997E-2</v>
      </c>
      <c r="AH133" s="159"/>
      <c r="AI133" s="155">
        <v>13.321</v>
      </c>
      <c r="AJ133" s="155">
        <v>0</v>
      </c>
      <c r="AK133" s="160">
        <v>0.28100000000000003</v>
      </c>
      <c r="AL133" s="159">
        <f t="shared" si="132"/>
        <v>13.321</v>
      </c>
      <c r="AM133" s="155" t="str">
        <f t="shared" si="133"/>
        <v>-</v>
      </c>
      <c r="AN133" s="160">
        <f t="shared" si="134"/>
        <v>0.28100000000000003</v>
      </c>
    </row>
    <row r="134" spans="1:40" s="17" customFormat="1" x14ac:dyDescent="0.35">
      <c r="A134" s="161"/>
      <c r="B134" s="17">
        <v>140</v>
      </c>
      <c r="C134" s="38" t="s">
        <v>109</v>
      </c>
      <c r="D134" s="17" t="s">
        <v>80</v>
      </c>
      <c r="F134" s="17">
        <v>476</v>
      </c>
      <c r="G134" s="17">
        <v>2</v>
      </c>
      <c r="H134" s="17">
        <v>150</v>
      </c>
      <c r="I134" s="17">
        <v>2</v>
      </c>
      <c r="J134" s="17">
        <v>5000</v>
      </c>
      <c r="K134" s="17">
        <v>65</v>
      </c>
      <c r="L134" s="17">
        <v>1</v>
      </c>
      <c r="M134" s="17">
        <f>(156.5+179.5+173+167)-(130.5+153.5+155+151.5)</f>
        <v>85.5</v>
      </c>
      <c r="N134" s="39">
        <f t="shared" si="139"/>
        <v>38.86363636363636</v>
      </c>
      <c r="O134" s="40">
        <f t="shared" si="140"/>
        <v>0.25909090909090904</v>
      </c>
      <c r="P134" s="17">
        <v>1</v>
      </c>
      <c r="R134" s="17">
        <f t="shared" si="108"/>
        <v>0.43485345896173477</v>
      </c>
      <c r="S134" s="17" t="str">
        <f t="shared" si="109"/>
        <v/>
      </c>
      <c r="T134" s="17">
        <f t="shared" si="110"/>
        <v>20.614529988716257</v>
      </c>
      <c r="U134" s="91">
        <f t="shared" si="144"/>
        <v>0.90978905487576001</v>
      </c>
      <c r="V134" s="91" t="e">
        <f t="shared" si="145"/>
        <v>#DIV/0!</v>
      </c>
      <c r="W134" s="91">
        <f t="shared" si="146"/>
        <v>0.79928825622775801</v>
      </c>
      <c r="X134" s="17">
        <v>1476</v>
      </c>
      <c r="Y134" s="17">
        <v>1198</v>
      </c>
      <c r="Z134" s="93">
        <f t="shared" si="147"/>
        <v>0.18834688346883466</v>
      </c>
      <c r="AA134" s="16"/>
      <c r="AB134" s="17">
        <v>1.2017</v>
      </c>
      <c r="AC134" s="17">
        <v>3.5000000000000001E-3</v>
      </c>
      <c r="AD134" s="21">
        <v>5.6399999999999999E-2</v>
      </c>
      <c r="AE134" s="16">
        <f t="shared" si="141"/>
        <v>1.2017</v>
      </c>
      <c r="AF134" s="17">
        <f t="shared" si="142"/>
        <v>3.5000000000000001E-3</v>
      </c>
      <c r="AG134" s="21">
        <f t="shared" si="143"/>
        <v>5.6399999999999999E-2</v>
      </c>
      <c r="AH134" s="16"/>
      <c r="AI134" s="17">
        <v>13.321</v>
      </c>
      <c r="AJ134" s="17">
        <v>0</v>
      </c>
      <c r="AK134" s="17">
        <v>0.28100000000000003</v>
      </c>
      <c r="AL134" s="17">
        <f t="shared" si="132"/>
        <v>13.321</v>
      </c>
      <c r="AM134" s="17" t="str">
        <f t="shared" si="133"/>
        <v>-</v>
      </c>
      <c r="AN134" s="21">
        <f t="shared" si="134"/>
        <v>0.28100000000000003</v>
      </c>
    </row>
    <row r="135" spans="1:40" s="17" customFormat="1" x14ac:dyDescent="0.35">
      <c r="A135" s="161"/>
      <c r="B135" s="17">
        <v>141</v>
      </c>
      <c r="C135" s="38" t="s">
        <v>110</v>
      </c>
      <c r="D135" s="17" t="s">
        <v>80</v>
      </c>
      <c r="F135" s="17">
        <v>476</v>
      </c>
      <c r="G135" s="17">
        <v>3</v>
      </c>
      <c r="H135" s="17">
        <f>150+45</f>
        <v>195</v>
      </c>
      <c r="I135" s="17">
        <v>1</v>
      </c>
      <c r="J135" s="17">
        <v>5000</v>
      </c>
      <c r="K135" s="17">
        <v>65</v>
      </c>
      <c r="L135" s="17">
        <v>1</v>
      </c>
      <c r="M135" s="17">
        <f>(130.5+153.5+155+151.5+0+164.5+185+156+163)-(153.5+148.5+125.5+149.5+0+144.5+184+0+137+138)</f>
        <v>78.5</v>
      </c>
      <c r="N135" s="39">
        <f t="shared" si="139"/>
        <v>35.68181818181818</v>
      </c>
      <c r="O135" s="40">
        <f t="shared" si="140"/>
        <v>0.18298368298368298</v>
      </c>
      <c r="P135" s="17">
        <v>1</v>
      </c>
      <c r="R135" s="17">
        <f t="shared" si="108"/>
        <v>0.43219295780390043</v>
      </c>
      <c r="S135" s="17" t="str">
        <f t="shared" si="109"/>
        <v/>
      </c>
      <c r="T135" s="17">
        <f t="shared" si="110"/>
        <v>20.488407085073867</v>
      </c>
      <c r="U135" s="91">
        <f t="shared" si="144"/>
        <v>0.95341190601306214</v>
      </c>
      <c r="V135" s="91" t="e">
        <f t="shared" si="145"/>
        <v>#DIV/0!</v>
      </c>
      <c r="W135" s="91">
        <f t="shared" si="146"/>
        <v>0.88896797153024909</v>
      </c>
      <c r="X135" s="17">
        <v>1363.5</v>
      </c>
      <c r="Y135" s="17">
        <v>1103.5</v>
      </c>
      <c r="Z135" s="93">
        <f t="shared" si="147"/>
        <v>0.19068573524019072</v>
      </c>
      <c r="AA135" s="16"/>
      <c r="AB135" s="17">
        <v>0.62060000000000004</v>
      </c>
      <c r="AC135" s="17">
        <v>0</v>
      </c>
      <c r="AD135" s="21">
        <v>3.1199999999999999E-2</v>
      </c>
      <c r="AE135" s="16">
        <f t="shared" si="141"/>
        <v>0.62060000000000004</v>
      </c>
      <c r="AF135" s="17" t="str">
        <f t="shared" si="142"/>
        <v>-</v>
      </c>
      <c r="AG135" s="21">
        <f t="shared" si="143"/>
        <v>3.1199999999999999E-2</v>
      </c>
      <c r="AH135" s="16"/>
      <c r="AI135" s="17">
        <v>13.321</v>
      </c>
      <c r="AJ135" s="17">
        <v>0</v>
      </c>
      <c r="AK135" s="17">
        <v>0.28100000000000003</v>
      </c>
      <c r="AL135" s="17">
        <f t="shared" si="132"/>
        <v>13.321</v>
      </c>
      <c r="AM135" s="17" t="str">
        <f t="shared" si="133"/>
        <v>-</v>
      </c>
      <c r="AN135" s="21">
        <f t="shared" si="134"/>
        <v>0.28100000000000003</v>
      </c>
    </row>
    <row r="136" spans="1:40" s="17" customFormat="1" x14ac:dyDescent="0.35">
      <c r="A136" s="161"/>
      <c r="B136" s="17">
        <v>142</v>
      </c>
      <c r="C136" s="38" t="s">
        <v>110</v>
      </c>
      <c r="D136" s="17" t="s">
        <v>80</v>
      </c>
      <c r="F136" s="17">
        <v>476</v>
      </c>
      <c r="G136" s="17">
        <v>4</v>
      </c>
      <c r="H136" s="17">
        <v>180</v>
      </c>
      <c r="I136" s="17">
        <v>2</v>
      </c>
      <c r="J136" s="17">
        <v>5000</v>
      </c>
      <c r="K136" s="17">
        <v>65</v>
      </c>
      <c r="L136" s="17">
        <v>1</v>
      </c>
      <c r="M136" s="17">
        <f>(137+138+177.5+168.5+0+164.5+168.5)-(128+131+146.5+153.5+161+151)</f>
        <v>83</v>
      </c>
      <c r="N136" s="39">
        <f t="shared" si="139"/>
        <v>37.727272727272727</v>
      </c>
      <c r="O136" s="40">
        <f t="shared" si="140"/>
        <v>0.20959595959595959</v>
      </c>
      <c r="P136" s="17">
        <v>1</v>
      </c>
      <c r="R136" s="17">
        <f t="shared" si="108"/>
        <v>0.39447695195928978</v>
      </c>
      <c r="S136" s="17" t="str">
        <f t="shared" si="109"/>
        <v/>
      </c>
      <c r="T136" s="17">
        <f t="shared" si="110"/>
        <v>18.700453654981132</v>
      </c>
      <c r="U136" s="91">
        <f t="shared" si="144"/>
        <v>0.88349973725696274</v>
      </c>
      <c r="V136" s="91" t="e">
        <f t="shared" si="145"/>
        <v>#DIV/0!</v>
      </c>
      <c r="W136" s="91">
        <f t="shared" si="146"/>
        <v>0.7551601423487545</v>
      </c>
      <c r="X136" s="17">
        <v>1579.5</v>
      </c>
      <c r="Y136" s="17">
        <v>1281</v>
      </c>
      <c r="Z136" s="93">
        <f t="shared" si="147"/>
        <v>0.18898385565052234</v>
      </c>
      <c r="AA136" s="16"/>
      <c r="AB136" s="17">
        <v>1.5519000000000001</v>
      </c>
      <c r="AC136" s="17">
        <v>0</v>
      </c>
      <c r="AD136" s="21">
        <v>6.88E-2</v>
      </c>
      <c r="AE136" s="16">
        <f t="shared" si="141"/>
        <v>1.5519000000000001</v>
      </c>
      <c r="AF136" s="17" t="str">
        <f t="shared" si="142"/>
        <v>-</v>
      </c>
      <c r="AG136" s="21">
        <f t="shared" si="143"/>
        <v>6.88E-2</v>
      </c>
      <c r="AH136" s="16"/>
      <c r="AI136" s="17">
        <v>13.321</v>
      </c>
      <c r="AJ136" s="17">
        <v>0</v>
      </c>
      <c r="AK136" s="17">
        <v>0.28100000000000003</v>
      </c>
      <c r="AL136" s="17">
        <f t="shared" si="132"/>
        <v>13.321</v>
      </c>
      <c r="AM136" s="17" t="str">
        <f t="shared" si="133"/>
        <v>-</v>
      </c>
      <c r="AN136" s="21">
        <f t="shared" si="134"/>
        <v>0.28100000000000003</v>
      </c>
    </row>
    <row r="137" spans="1:40" s="17" customFormat="1" x14ac:dyDescent="0.35">
      <c r="A137" s="161"/>
      <c r="B137" s="17">
        <v>143</v>
      </c>
      <c r="C137" s="38" t="s">
        <v>111</v>
      </c>
      <c r="D137" s="17" t="s">
        <v>80</v>
      </c>
      <c r="F137" s="17">
        <v>476</v>
      </c>
      <c r="G137" s="17">
        <v>5</v>
      </c>
      <c r="H137" s="38">
        <v>165</v>
      </c>
      <c r="I137" s="17">
        <v>1</v>
      </c>
      <c r="J137" s="17">
        <v>5000</v>
      </c>
      <c r="K137" s="17">
        <v>65</v>
      </c>
      <c r="L137" s="17">
        <v>1</v>
      </c>
      <c r="M137" s="17">
        <f>(146.5+153.5+161+151)-(131.5+137+145+131.5)</f>
        <v>67</v>
      </c>
      <c r="N137" s="39">
        <f t="shared" si="139"/>
        <v>30.454545454545453</v>
      </c>
      <c r="O137" s="40">
        <f t="shared" si="140"/>
        <v>0.18457300275482094</v>
      </c>
      <c r="P137" s="17">
        <v>1</v>
      </c>
      <c r="R137" s="17">
        <f t="shared" si="108"/>
        <v>0.34556182950850972</v>
      </c>
      <c r="S137" s="17" t="str">
        <f t="shared" si="109"/>
        <v/>
      </c>
      <c r="T137" s="17">
        <f t="shared" si="110"/>
        <v>16.381598330543977</v>
      </c>
      <c r="U137" s="91">
        <f t="shared" si="144"/>
        <v>0.87443134899782293</v>
      </c>
      <c r="V137" s="91" t="e">
        <f t="shared" si="145"/>
        <v>#DIV/0!</v>
      </c>
      <c r="W137" s="91">
        <f t="shared" si="146"/>
        <v>0.73238434163701072</v>
      </c>
      <c r="X137" s="17">
        <v>1455.5</v>
      </c>
      <c r="Y137" s="17">
        <v>1219</v>
      </c>
      <c r="Z137" s="93">
        <f t="shared" si="147"/>
        <v>0.16248711782892478</v>
      </c>
      <c r="AA137" s="16"/>
      <c r="AB137" s="17">
        <v>1.6727000000000001</v>
      </c>
      <c r="AC137" s="17">
        <v>3.8999999999999998E-3</v>
      </c>
      <c r="AD137" s="21">
        <v>7.5200000000000003E-2</v>
      </c>
      <c r="AE137" s="16">
        <f t="shared" si="141"/>
        <v>1.6727000000000001</v>
      </c>
      <c r="AF137" s="17">
        <f t="shared" si="142"/>
        <v>3.8999999999999998E-3</v>
      </c>
      <c r="AG137" s="21">
        <f t="shared" si="143"/>
        <v>7.5200000000000003E-2</v>
      </c>
      <c r="AH137" s="16"/>
      <c r="AI137" s="17">
        <v>13.321</v>
      </c>
      <c r="AJ137" s="17">
        <v>0</v>
      </c>
      <c r="AK137" s="17">
        <v>0.28100000000000003</v>
      </c>
      <c r="AL137" s="17">
        <f t="shared" si="132"/>
        <v>13.321</v>
      </c>
      <c r="AM137" s="17" t="str">
        <f t="shared" si="133"/>
        <v>-</v>
      </c>
      <c r="AN137" s="21">
        <f t="shared" si="134"/>
        <v>0.28100000000000003</v>
      </c>
    </row>
    <row r="138" spans="1:40" s="163" customFormat="1" ht="15" thickBot="1" x14ac:dyDescent="0.4">
      <c r="A138" s="162"/>
      <c r="B138" s="163">
        <v>144</v>
      </c>
      <c r="C138" s="186" t="s">
        <v>111</v>
      </c>
      <c r="D138" s="163" t="s">
        <v>80</v>
      </c>
      <c r="F138" s="163">
        <v>476</v>
      </c>
      <c r="G138" s="163">
        <v>6</v>
      </c>
      <c r="H138" s="163">
        <v>121</v>
      </c>
      <c r="I138" s="163">
        <v>2</v>
      </c>
      <c r="J138" s="163">
        <v>5000</v>
      </c>
      <c r="K138" s="163">
        <v>65</v>
      </c>
      <c r="L138" s="163">
        <v>1</v>
      </c>
      <c r="M138" s="163">
        <f>(174.5+177.5)-(142+145)</f>
        <v>65</v>
      </c>
      <c r="N138" s="187">
        <f t="shared" si="139"/>
        <v>29.545454545454543</v>
      </c>
      <c r="O138" s="180">
        <f t="shared" si="140"/>
        <v>0.24417731029301276</v>
      </c>
      <c r="P138" s="163">
        <v>1</v>
      </c>
      <c r="R138" s="163">
        <f t="shared" si="108"/>
        <v>0.36265429580332825</v>
      </c>
      <c r="S138" s="163" t="str">
        <f t="shared" si="109"/>
        <v/>
      </c>
      <c r="T138" s="163">
        <f t="shared" si="110"/>
        <v>17.191878556569872</v>
      </c>
      <c r="U138" s="165">
        <f t="shared" si="144"/>
        <v>0.86045341941295694</v>
      </c>
      <c r="V138" s="165" t="e">
        <f t="shared" si="145"/>
        <v>#DIV/0!</v>
      </c>
      <c r="W138" s="165">
        <f t="shared" si="146"/>
        <v>0.73024911032028472</v>
      </c>
      <c r="X138" s="163">
        <v>1345.5</v>
      </c>
      <c r="Y138" s="163">
        <v>1126</v>
      </c>
      <c r="Z138" s="166">
        <f t="shared" si="147"/>
        <v>0.16313638052768487</v>
      </c>
      <c r="AA138" s="167"/>
      <c r="AB138" s="163">
        <v>1.8589</v>
      </c>
      <c r="AC138" s="163">
        <v>3.8999999999999998E-3</v>
      </c>
      <c r="AD138" s="168">
        <v>7.5800000000000006E-2</v>
      </c>
      <c r="AE138" s="167">
        <f t="shared" si="141"/>
        <v>1.8589</v>
      </c>
      <c r="AF138" s="163">
        <f t="shared" si="142"/>
        <v>3.8999999999999998E-3</v>
      </c>
      <c r="AG138" s="168">
        <f t="shared" si="143"/>
        <v>7.5800000000000006E-2</v>
      </c>
      <c r="AH138" s="167"/>
      <c r="AI138" s="163">
        <v>13.321</v>
      </c>
      <c r="AJ138" s="163">
        <v>0</v>
      </c>
      <c r="AK138" s="163">
        <v>0.28100000000000003</v>
      </c>
      <c r="AL138" s="163">
        <f t="shared" si="132"/>
        <v>13.321</v>
      </c>
      <c r="AM138" s="163" t="str">
        <f t="shared" si="133"/>
        <v>-</v>
      </c>
      <c r="AN138" s="168">
        <f t="shared" si="134"/>
        <v>0.28100000000000003</v>
      </c>
    </row>
    <row r="139" spans="1:40" s="11" customFormat="1" x14ac:dyDescent="0.35">
      <c r="A139" s="144"/>
      <c r="B139" s="11">
        <v>145</v>
      </c>
      <c r="C139" s="41" t="s">
        <v>112</v>
      </c>
      <c r="D139" s="11" t="s">
        <v>43</v>
      </c>
      <c r="E139" s="11">
        <v>1</v>
      </c>
      <c r="F139" s="11">
        <v>857</v>
      </c>
      <c r="G139" s="11">
        <v>3</v>
      </c>
      <c r="H139" s="11">
        <v>120</v>
      </c>
      <c r="I139" s="11">
        <v>1</v>
      </c>
      <c r="J139" s="11">
        <v>5000</v>
      </c>
      <c r="K139" s="11">
        <v>65</v>
      </c>
      <c r="L139" s="11">
        <v>1</v>
      </c>
      <c r="M139" s="11">
        <f>(143+172+150.5+121)-(113+138+149+120)</f>
        <v>66.5</v>
      </c>
      <c r="N139" s="42">
        <f t="shared" si="139"/>
        <v>30.227272727272723</v>
      </c>
      <c r="O139" s="43">
        <f t="shared" si="140"/>
        <v>0.25189393939393934</v>
      </c>
      <c r="P139" s="11">
        <v>1</v>
      </c>
      <c r="R139" s="11">
        <f t="shared" si="108"/>
        <v>9.7050893342527633</v>
      </c>
      <c r="S139" s="11">
        <f t="shared" si="109"/>
        <v>0.46965993301448716</v>
      </c>
      <c r="T139" s="11">
        <f t="shared" si="110"/>
        <v>384.47084670309027</v>
      </c>
      <c r="U139" s="55">
        <f t="shared" si="144"/>
        <v>0.98854368932038827</v>
      </c>
      <c r="V139" s="55">
        <f t="shared" si="145"/>
        <v>0.97465701935726368</v>
      </c>
      <c r="W139" s="55">
        <f t="shared" si="146"/>
        <v>1</v>
      </c>
      <c r="X139" s="11">
        <v>1330.5</v>
      </c>
      <c r="Y139" s="11">
        <v>1101</v>
      </c>
      <c r="Z139" s="87">
        <f t="shared" si="147"/>
        <v>0.17249154453213078</v>
      </c>
      <c r="AB139" s="11">
        <v>5.8999999999999999E-3</v>
      </c>
      <c r="AC139" s="11">
        <v>0.2697</v>
      </c>
      <c r="AD139" s="11">
        <v>0</v>
      </c>
      <c r="AE139" s="11">
        <f t="shared" si="141"/>
        <v>5.8999999999999999E-3</v>
      </c>
      <c r="AF139" s="11">
        <f t="shared" si="142"/>
        <v>0.2697</v>
      </c>
      <c r="AG139" s="11" t="str">
        <f t="shared" si="143"/>
        <v>-</v>
      </c>
      <c r="AI139" s="11">
        <v>0.51500000000000001</v>
      </c>
      <c r="AJ139" s="11">
        <v>10.641999999999999</v>
      </c>
      <c r="AK139" s="11">
        <v>1.2999999999999999E-2</v>
      </c>
      <c r="AL139" s="11">
        <f t="shared" si="132"/>
        <v>0.51500000000000001</v>
      </c>
      <c r="AM139" s="11">
        <f t="shared" si="133"/>
        <v>10.641999999999999</v>
      </c>
      <c r="AN139" s="11">
        <f t="shared" si="134"/>
        <v>1.2999999999999999E-2</v>
      </c>
    </row>
    <row r="140" spans="1:40" s="11" customFormat="1" x14ac:dyDescent="0.35">
      <c r="A140" s="144"/>
      <c r="B140" s="11">
        <v>146</v>
      </c>
      <c r="C140" s="41" t="s">
        <v>112</v>
      </c>
      <c r="D140" s="11" t="s">
        <v>43</v>
      </c>
      <c r="E140" s="11">
        <v>1</v>
      </c>
      <c r="F140" s="11">
        <v>857</v>
      </c>
      <c r="G140" s="11">
        <v>4</v>
      </c>
      <c r="H140" s="11">
        <v>180</v>
      </c>
      <c r="I140" s="11">
        <v>2</v>
      </c>
      <c r="J140" s="11">
        <v>5000</v>
      </c>
      <c r="K140" s="11">
        <v>65</v>
      </c>
      <c r="L140" s="11">
        <v>1</v>
      </c>
      <c r="M140" s="11">
        <f>(139+147+167+164.5)-(122.5+130+155.5+154)</f>
        <v>55.5</v>
      </c>
      <c r="N140" s="42">
        <f t="shared" si="139"/>
        <v>25.227272727272727</v>
      </c>
      <c r="O140" s="43">
        <f t="shared" si="140"/>
        <v>0.14015151515151514</v>
      </c>
      <c r="R140" s="11">
        <f t="shared" ref="R140:R196" si="148">IF(AND(X140&lt;&gt;0,AI140&lt;&gt;0,$M140&lt;&gt;0),$M140/($X140*(AI140/100)),"")</f>
        <v>7.1274464478347967</v>
      </c>
      <c r="S140" s="11">
        <f t="shared" ref="S140:S196" si="149">IF(AND(Y140&lt;&gt;0,AJ140&lt;&gt;0,$M140&lt;&gt;0),$M140/($X140*(AJ140/100)),"")</f>
        <v>0.34491965050130807</v>
      </c>
      <c r="T140" s="11">
        <f t="shared" ref="T140:T196" si="150">IF(AND(Z140&lt;&gt;0,AK140&lt;&gt;0,$M140&lt;&gt;0),$M140/($X140*(AK140/100)),"")</f>
        <v>282.3565323565324</v>
      </c>
      <c r="U140" s="55">
        <f t="shared" si="144"/>
        <v>1</v>
      </c>
      <c r="V140" s="55">
        <f t="shared" si="145"/>
        <v>0.98388460815636158</v>
      </c>
      <c r="W140" s="55">
        <f t="shared" si="146"/>
        <v>1</v>
      </c>
      <c r="X140" s="11">
        <v>1512</v>
      </c>
      <c r="Y140" s="11">
        <v>1244</v>
      </c>
      <c r="Z140" s="87">
        <f t="shared" si="147"/>
        <v>0.17724867724867721</v>
      </c>
      <c r="AB140" s="11">
        <v>0</v>
      </c>
      <c r="AC140" s="11">
        <v>0.17150000000000001</v>
      </c>
      <c r="AD140" s="11">
        <v>0</v>
      </c>
      <c r="AE140" s="11" t="str">
        <f t="shared" si="141"/>
        <v>-</v>
      </c>
      <c r="AF140" s="11">
        <f t="shared" si="142"/>
        <v>0.17150000000000001</v>
      </c>
      <c r="AG140" s="11" t="str">
        <f t="shared" si="143"/>
        <v>-</v>
      </c>
      <c r="AI140" s="11">
        <v>0.51500000000000001</v>
      </c>
      <c r="AJ140" s="11">
        <v>10.641999999999999</v>
      </c>
      <c r="AK140" s="11">
        <v>1.2999999999999999E-2</v>
      </c>
      <c r="AL140" s="11">
        <f t="shared" si="132"/>
        <v>0.51500000000000001</v>
      </c>
      <c r="AM140" s="11">
        <f t="shared" si="133"/>
        <v>10.641999999999999</v>
      </c>
      <c r="AN140" s="11">
        <f t="shared" si="134"/>
        <v>1.2999999999999999E-2</v>
      </c>
    </row>
    <row r="141" spans="1:40" s="11" customFormat="1" x14ac:dyDescent="0.35">
      <c r="A141" s="144"/>
      <c r="B141" s="11">
        <v>148</v>
      </c>
      <c r="C141" s="41" t="s">
        <v>112</v>
      </c>
      <c r="D141" s="11" t="s">
        <v>43</v>
      </c>
      <c r="E141" s="11">
        <v>1</v>
      </c>
      <c r="F141" s="11" t="s">
        <v>113</v>
      </c>
      <c r="G141" s="11">
        <v>1</v>
      </c>
      <c r="H141" s="11">
        <v>105</v>
      </c>
      <c r="I141" s="11">
        <v>1</v>
      </c>
      <c r="J141" s="11">
        <v>5000</v>
      </c>
      <c r="K141" s="11">
        <v>65</v>
      </c>
      <c r="L141" s="11">
        <v>1</v>
      </c>
      <c r="M141" s="11">
        <f>(152+167+156+179)-(134.5+147+143+164.5)</f>
        <v>65</v>
      </c>
      <c r="N141" s="42">
        <f t="shared" si="139"/>
        <v>29.545454545454543</v>
      </c>
      <c r="O141" s="43">
        <f t="shared" si="140"/>
        <v>0.28138528138528135</v>
      </c>
      <c r="R141" s="11">
        <f t="shared" si="148"/>
        <v>7.9705457677934772</v>
      </c>
      <c r="S141" s="11">
        <f t="shared" si="149"/>
        <v>0.38571989009712837</v>
      </c>
      <c r="T141" s="11">
        <f t="shared" si="150"/>
        <v>315.7562361856647</v>
      </c>
      <c r="U141" s="55">
        <f t="shared" si="144"/>
        <v>0.970873786407767</v>
      </c>
      <c r="V141" s="55">
        <f t="shared" si="145"/>
        <v>0.97023115955647432</v>
      </c>
      <c r="W141" s="55">
        <f t="shared" si="146"/>
        <v>1</v>
      </c>
      <c r="X141" s="11">
        <v>1583.5</v>
      </c>
      <c r="Y141" s="11">
        <v>1325</v>
      </c>
      <c r="Z141" s="87">
        <f t="shared" si="147"/>
        <v>0.16324597410798858</v>
      </c>
      <c r="AB141" s="108">
        <v>1.4999999999999999E-2</v>
      </c>
      <c r="AC141" s="11">
        <v>0.31680000000000003</v>
      </c>
      <c r="AD141" s="11">
        <v>0</v>
      </c>
      <c r="AE141" s="11">
        <f t="shared" si="141"/>
        <v>1.4999999999999999E-2</v>
      </c>
      <c r="AF141" s="11">
        <f t="shared" si="142"/>
        <v>0.31680000000000003</v>
      </c>
      <c r="AG141" s="11" t="str">
        <f t="shared" si="143"/>
        <v>-</v>
      </c>
      <c r="AI141" s="11">
        <v>0.51500000000000001</v>
      </c>
      <c r="AJ141" s="11">
        <v>10.641999999999999</v>
      </c>
      <c r="AK141" s="11">
        <v>1.2999999999999999E-2</v>
      </c>
      <c r="AL141" s="11">
        <f t="shared" si="132"/>
        <v>0.51500000000000001</v>
      </c>
      <c r="AM141" s="11">
        <f t="shared" si="133"/>
        <v>10.641999999999999</v>
      </c>
      <c r="AN141" s="11">
        <f t="shared" si="134"/>
        <v>1.2999999999999999E-2</v>
      </c>
    </row>
    <row r="142" spans="1:40" s="11" customFormat="1" x14ac:dyDescent="0.35">
      <c r="A142" s="144"/>
      <c r="B142" s="11">
        <v>149</v>
      </c>
      <c r="C142" s="41" t="s">
        <v>112</v>
      </c>
      <c r="D142" s="11" t="s">
        <v>43</v>
      </c>
      <c r="E142" s="11">
        <v>1</v>
      </c>
      <c r="F142" s="11" t="s">
        <v>113</v>
      </c>
      <c r="G142" s="11">
        <v>2</v>
      </c>
      <c r="H142" s="11">
        <v>120</v>
      </c>
      <c r="I142" s="11">
        <v>2</v>
      </c>
      <c r="J142" s="11">
        <v>5000</v>
      </c>
      <c r="K142" s="11">
        <v>65</v>
      </c>
      <c r="L142" s="11">
        <v>1</v>
      </c>
      <c r="M142" s="11">
        <f>(134.5+147+143+164.5+161+163)-(124+135.5+133.5+154+154+157)</f>
        <v>55</v>
      </c>
      <c r="N142" s="42">
        <f t="shared" si="139"/>
        <v>24.999999999999996</v>
      </c>
      <c r="O142" s="43">
        <f t="shared" si="140"/>
        <v>0.20833333333333331</v>
      </c>
      <c r="R142" s="11">
        <f t="shared" si="148"/>
        <v>6.6005016381244968</v>
      </c>
      <c r="S142" s="11">
        <f t="shared" si="149"/>
        <v>0.31941912644560388</v>
      </c>
      <c r="T142" s="11">
        <f t="shared" si="150"/>
        <v>261.48141104877823</v>
      </c>
      <c r="U142" s="55">
        <f t="shared" si="144"/>
        <v>0.98601941747572819</v>
      </c>
      <c r="V142" s="55">
        <f t="shared" si="145"/>
        <v>0.98205224581845507</v>
      </c>
      <c r="W142" s="55">
        <f t="shared" si="146"/>
        <v>1</v>
      </c>
      <c r="X142" s="11">
        <v>1618</v>
      </c>
      <c r="Y142" s="11">
        <v>1360</v>
      </c>
      <c r="Z142" s="87">
        <f t="shared" si="147"/>
        <v>0.15945611866501852</v>
      </c>
      <c r="AB142" s="11">
        <v>7.1999999999999998E-3</v>
      </c>
      <c r="AC142" s="108">
        <v>0.191</v>
      </c>
      <c r="AD142" s="11">
        <v>0</v>
      </c>
      <c r="AE142" s="11">
        <f t="shared" si="141"/>
        <v>7.1999999999999998E-3</v>
      </c>
      <c r="AF142" s="11">
        <f t="shared" si="142"/>
        <v>0.191</v>
      </c>
      <c r="AG142" s="11" t="str">
        <f t="shared" si="143"/>
        <v>-</v>
      </c>
      <c r="AI142" s="11">
        <v>0.51500000000000001</v>
      </c>
      <c r="AJ142" s="11">
        <v>10.641999999999999</v>
      </c>
      <c r="AK142" s="11">
        <v>1.2999999999999999E-2</v>
      </c>
      <c r="AL142" s="11">
        <f t="shared" si="132"/>
        <v>0.51500000000000001</v>
      </c>
      <c r="AM142" s="11">
        <f t="shared" si="133"/>
        <v>10.641999999999999</v>
      </c>
      <c r="AN142" s="11">
        <f t="shared" si="134"/>
        <v>1.2999999999999999E-2</v>
      </c>
    </row>
    <row r="143" spans="1:40" s="148" customFormat="1" ht="15" thickBot="1" x14ac:dyDescent="0.4">
      <c r="A143" s="145"/>
      <c r="B143" s="148">
        <v>150</v>
      </c>
      <c r="C143" s="178" t="s">
        <v>112</v>
      </c>
      <c r="D143" s="148" t="s">
        <v>43</v>
      </c>
      <c r="E143" s="148">
        <v>1</v>
      </c>
      <c r="F143" s="148" t="s">
        <v>113</v>
      </c>
      <c r="G143" s="148">
        <v>3</v>
      </c>
      <c r="H143" s="148">
        <v>120</v>
      </c>
      <c r="I143" s="148">
        <v>1</v>
      </c>
      <c r="J143" s="148">
        <v>5000</v>
      </c>
      <c r="K143" s="148">
        <v>65</v>
      </c>
      <c r="L143" s="148">
        <v>1</v>
      </c>
      <c r="M143" s="148">
        <f>(152.5+162.5+154+157)-(138+144.5+142.5+145)</f>
        <v>56</v>
      </c>
      <c r="R143" s="148">
        <f t="shared" si="148"/>
        <v>6.9592233009708737</v>
      </c>
      <c r="S143" s="148">
        <f t="shared" si="149"/>
        <v>0.33677880097725993</v>
      </c>
      <c r="T143" s="148">
        <f t="shared" si="150"/>
        <v>275.69230769230774</v>
      </c>
      <c r="U143" s="149">
        <f t="shared" si="144"/>
        <v>0.96737864077669911</v>
      </c>
      <c r="V143" s="149">
        <f t="shared" si="145"/>
        <v>0.97876339034016158</v>
      </c>
      <c r="W143" s="149">
        <f t="shared" si="146"/>
        <v>1</v>
      </c>
      <c r="X143" s="148">
        <v>1562.5</v>
      </c>
      <c r="Y143" s="148">
        <v>1321.5</v>
      </c>
      <c r="Z143" s="150">
        <f t="shared" si="147"/>
        <v>0.15424000000000004</v>
      </c>
      <c r="AB143" s="148">
        <v>1.6799999999999999E-2</v>
      </c>
      <c r="AC143" s="148">
        <v>0.22600000000000001</v>
      </c>
      <c r="AD143" s="148">
        <v>0</v>
      </c>
      <c r="AE143" s="148">
        <f t="shared" si="141"/>
        <v>1.6799999999999999E-2</v>
      </c>
      <c r="AF143" s="148">
        <f t="shared" si="142"/>
        <v>0.22600000000000001</v>
      </c>
      <c r="AG143" s="148" t="str">
        <f t="shared" si="143"/>
        <v>-</v>
      </c>
      <c r="AI143" s="148">
        <v>0.51500000000000001</v>
      </c>
      <c r="AJ143" s="148">
        <v>10.641999999999999</v>
      </c>
      <c r="AK143" s="148">
        <v>1.2999999999999999E-2</v>
      </c>
      <c r="AL143" s="148">
        <f t="shared" si="132"/>
        <v>0.51500000000000001</v>
      </c>
      <c r="AM143" s="148">
        <f t="shared" si="133"/>
        <v>10.641999999999999</v>
      </c>
      <c r="AN143" s="148">
        <f t="shared" si="134"/>
        <v>1.2999999999999999E-2</v>
      </c>
    </row>
    <row r="144" spans="1:40" s="11" customFormat="1" x14ac:dyDescent="0.35">
      <c r="A144" s="144"/>
      <c r="B144" s="11">
        <v>151</v>
      </c>
      <c r="C144" s="46">
        <v>43375</v>
      </c>
      <c r="D144" s="11" t="s">
        <v>43</v>
      </c>
      <c r="E144" s="11">
        <v>1</v>
      </c>
      <c r="F144" s="11">
        <v>858</v>
      </c>
      <c r="G144" s="11">
        <v>1</v>
      </c>
      <c r="H144" s="11">
        <v>130</v>
      </c>
      <c r="I144" s="11">
        <v>1</v>
      </c>
      <c r="J144" s="11">
        <v>5000</v>
      </c>
      <c r="K144" s="11">
        <v>65</v>
      </c>
      <c r="L144" s="11">
        <v>1</v>
      </c>
      <c r="M144" s="11">
        <f>(148+168+147+160)-(126.5+146+131.5+139.5)</f>
        <v>79.5</v>
      </c>
      <c r="R144" s="11" t="str">
        <f t="shared" si="148"/>
        <v/>
      </c>
      <c r="S144" s="11">
        <f t="shared" si="149"/>
        <v>0.47908605566702761</v>
      </c>
      <c r="T144" s="11">
        <f t="shared" si="150"/>
        <v>378.06733878638005</v>
      </c>
      <c r="U144" s="55" t="e">
        <f t="shared" si="144"/>
        <v>#DIV/0!</v>
      </c>
      <c r="V144" s="55">
        <f t="shared" si="145"/>
        <v>0.95621832005792895</v>
      </c>
      <c r="W144" s="55">
        <f t="shared" si="146"/>
        <v>1</v>
      </c>
      <c r="X144" s="11">
        <v>1502</v>
      </c>
      <c r="Y144" s="11">
        <v>1239</v>
      </c>
      <c r="Z144" s="87">
        <f t="shared" si="147"/>
        <v>0.17509986684420775</v>
      </c>
      <c r="AA144" s="10"/>
      <c r="AB144" s="11">
        <v>2.9100000000000001E-2</v>
      </c>
      <c r="AC144" s="11">
        <v>0.48370000000000002</v>
      </c>
      <c r="AD144" s="88">
        <v>0</v>
      </c>
      <c r="AE144" s="10">
        <f t="shared" si="141"/>
        <v>2.9100000000000001E-2</v>
      </c>
      <c r="AF144" s="11">
        <f t="shared" si="142"/>
        <v>0.48370000000000002</v>
      </c>
      <c r="AG144" s="88" t="str">
        <f t="shared" si="143"/>
        <v>-</v>
      </c>
      <c r="AH144" s="10"/>
      <c r="AI144" s="11">
        <v>0</v>
      </c>
      <c r="AJ144" s="11">
        <v>11.048</v>
      </c>
      <c r="AK144" s="11">
        <v>1.4E-2</v>
      </c>
      <c r="AL144" s="11" t="str">
        <f t="shared" si="132"/>
        <v>-</v>
      </c>
      <c r="AM144" s="11">
        <f t="shared" si="133"/>
        <v>11.048</v>
      </c>
      <c r="AN144" s="88">
        <f t="shared" si="134"/>
        <v>1.4E-2</v>
      </c>
    </row>
    <row r="145" spans="1:40" s="11" customFormat="1" x14ac:dyDescent="0.35">
      <c r="A145" s="144"/>
      <c r="B145" s="11">
        <v>152</v>
      </c>
      <c r="C145" s="41" t="s">
        <v>114</v>
      </c>
      <c r="D145" s="11" t="s">
        <v>43</v>
      </c>
      <c r="E145" s="11">
        <v>1</v>
      </c>
      <c r="F145" s="11">
        <v>858</v>
      </c>
      <c r="G145" s="11">
        <v>2</v>
      </c>
      <c r="H145" s="11">
        <v>105</v>
      </c>
      <c r="I145" s="11">
        <v>2</v>
      </c>
      <c r="J145" s="11">
        <v>5000</v>
      </c>
      <c r="K145" s="11">
        <v>65</v>
      </c>
      <c r="L145" s="11">
        <v>1</v>
      </c>
      <c r="M145" s="11">
        <f>(162.5+163)-(135.5+130)</f>
        <v>60</v>
      </c>
      <c r="R145" s="11" t="str">
        <f t="shared" si="148"/>
        <v/>
      </c>
      <c r="S145" s="11">
        <f t="shared" si="149"/>
        <v>0.36085363535980713</v>
      </c>
      <c r="T145" s="11">
        <f t="shared" si="150"/>
        <v>284.7650688182249</v>
      </c>
      <c r="U145" s="55" t="e">
        <f t="shared" si="144"/>
        <v>#DIV/0!</v>
      </c>
      <c r="V145" s="55">
        <f t="shared" si="145"/>
        <v>0.95771180304127446</v>
      </c>
      <c r="W145" s="55">
        <f t="shared" si="146"/>
        <v>1</v>
      </c>
      <c r="X145" s="11">
        <v>1505</v>
      </c>
      <c r="Y145" s="11">
        <v>1270.5</v>
      </c>
      <c r="Z145" s="87">
        <f t="shared" si="147"/>
        <v>0.15581395348837213</v>
      </c>
      <c r="AA145" s="10"/>
      <c r="AB145" s="11">
        <v>3.2099999999999997E-2</v>
      </c>
      <c r="AC145" s="11">
        <v>0.4672</v>
      </c>
      <c r="AD145" s="88">
        <v>0</v>
      </c>
      <c r="AE145" s="10">
        <f t="shared" si="141"/>
        <v>3.2099999999999997E-2</v>
      </c>
      <c r="AF145" s="11">
        <f t="shared" si="142"/>
        <v>0.4672</v>
      </c>
      <c r="AG145" s="88" t="str">
        <f t="shared" si="143"/>
        <v>-</v>
      </c>
      <c r="AH145" s="10"/>
      <c r="AI145" s="11">
        <v>0</v>
      </c>
      <c r="AJ145" s="11">
        <v>11.048</v>
      </c>
      <c r="AK145" s="11">
        <v>1.4E-2</v>
      </c>
      <c r="AL145" s="11" t="str">
        <f t="shared" si="132"/>
        <v>-</v>
      </c>
      <c r="AM145" s="11">
        <f t="shared" si="133"/>
        <v>11.048</v>
      </c>
      <c r="AN145" s="88">
        <f t="shared" si="134"/>
        <v>1.4E-2</v>
      </c>
    </row>
    <row r="146" spans="1:40" s="11" customFormat="1" x14ac:dyDescent="0.35">
      <c r="A146" s="144"/>
      <c r="B146" s="11">
        <v>153</v>
      </c>
      <c r="C146" s="41" t="s">
        <v>114</v>
      </c>
      <c r="D146" s="11" t="s">
        <v>43</v>
      </c>
      <c r="E146" s="11">
        <v>1</v>
      </c>
      <c r="F146" s="11">
        <v>858</v>
      </c>
      <c r="G146" s="11">
        <v>3</v>
      </c>
      <c r="H146" s="11">
        <v>105</v>
      </c>
      <c r="I146" s="11">
        <v>1</v>
      </c>
      <c r="J146" s="11">
        <v>5000</v>
      </c>
      <c r="K146" s="11">
        <v>65</v>
      </c>
      <c r="L146" s="11">
        <v>1</v>
      </c>
      <c r="M146" s="11">
        <f>(180+178.5)-(150+148)</f>
        <v>60.5</v>
      </c>
      <c r="R146" s="11" t="str">
        <f t="shared" si="148"/>
        <v/>
      </c>
      <c r="S146" s="11">
        <f t="shared" si="149"/>
        <v>0.36110150163313381</v>
      </c>
      <c r="T146" s="11">
        <f t="shared" si="150"/>
        <v>284.96067071734723</v>
      </c>
      <c r="U146" s="55" t="e">
        <f t="shared" si="144"/>
        <v>#DIV/0!</v>
      </c>
      <c r="V146" s="55">
        <f t="shared" si="145"/>
        <v>0.96954199855177414</v>
      </c>
      <c r="W146" s="55">
        <f t="shared" si="146"/>
        <v>1</v>
      </c>
      <c r="X146" s="11">
        <v>1516.5</v>
      </c>
      <c r="Y146" s="11">
        <v>1291.5</v>
      </c>
      <c r="Z146" s="87">
        <f t="shared" si="147"/>
        <v>0.14836795252225521</v>
      </c>
      <c r="AA146" s="10"/>
      <c r="AB146" s="11">
        <v>1.83E-2</v>
      </c>
      <c r="AC146" s="11">
        <v>0.33650000000000002</v>
      </c>
      <c r="AD146" s="88">
        <v>0</v>
      </c>
      <c r="AE146" s="10">
        <f t="shared" si="141"/>
        <v>1.83E-2</v>
      </c>
      <c r="AF146" s="11">
        <f t="shared" si="142"/>
        <v>0.33650000000000002</v>
      </c>
      <c r="AG146" s="88" t="str">
        <f t="shared" si="143"/>
        <v>-</v>
      </c>
      <c r="AH146" s="10"/>
      <c r="AI146" s="11">
        <v>0</v>
      </c>
      <c r="AJ146" s="11">
        <v>11.048</v>
      </c>
      <c r="AK146" s="11">
        <v>1.4E-2</v>
      </c>
      <c r="AL146" s="11" t="str">
        <f t="shared" si="132"/>
        <v>-</v>
      </c>
      <c r="AM146" s="11">
        <f t="shared" si="133"/>
        <v>11.048</v>
      </c>
      <c r="AN146" s="88">
        <f t="shared" si="134"/>
        <v>1.4E-2</v>
      </c>
    </row>
    <row r="147" spans="1:40" s="11" customFormat="1" x14ac:dyDescent="0.35">
      <c r="A147" s="144"/>
      <c r="B147" s="11">
        <v>154</v>
      </c>
      <c r="C147" s="41" t="s">
        <v>114</v>
      </c>
      <c r="D147" s="11" t="s">
        <v>43</v>
      </c>
      <c r="E147" s="11">
        <v>1</v>
      </c>
      <c r="F147" s="11">
        <v>858</v>
      </c>
      <c r="G147" s="11">
        <v>4</v>
      </c>
      <c r="H147" s="11">
        <v>140</v>
      </c>
      <c r="I147" s="11">
        <v>2</v>
      </c>
      <c r="J147" s="11">
        <v>5000</v>
      </c>
      <c r="K147" s="11">
        <v>65</v>
      </c>
      <c r="L147" s="11">
        <v>1</v>
      </c>
      <c r="M147" s="11">
        <f>(131+162.5)-(107.5+128.5)</f>
        <v>57.5</v>
      </c>
      <c r="R147" s="11" t="str">
        <f t="shared" si="148"/>
        <v/>
      </c>
      <c r="S147" s="11">
        <f t="shared" si="149"/>
        <v>0.34616308025661585</v>
      </c>
      <c r="T147" s="11">
        <f t="shared" si="150"/>
        <v>273.17212219107796</v>
      </c>
      <c r="U147" s="55" t="e">
        <f t="shared" si="144"/>
        <v>#DIV/0!</v>
      </c>
      <c r="V147" s="55">
        <f t="shared" si="145"/>
        <v>0.95216328747284584</v>
      </c>
      <c r="W147" s="55">
        <f t="shared" si="146"/>
        <v>1</v>
      </c>
      <c r="X147" s="11">
        <v>1503.5</v>
      </c>
      <c r="Y147" s="11">
        <v>1245.5</v>
      </c>
      <c r="Z147" s="87">
        <f t="shared" si="147"/>
        <v>0.17159960093116067</v>
      </c>
      <c r="AA147" s="10"/>
      <c r="AB147" s="11">
        <v>3.2099999999999997E-2</v>
      </c>
      <c r="AC147" s="11">
        <v>0.52849999999999997</v>
      </c>
      <c r="AD147" s="88">
        <v>0</v>
      </c>
      <c r="AE147" s="10">
        <f t="shared" si="141"/>
        <v>3.2099999999999997E-2</v>
      </c>
      <c r="AF147" s="11">
        <f t="shared" si="142"/>
        <v>0.52849999999999997</v>
      </c>
      <c r="AG147" s="88" t="str">
        <f t="shared" si="143"/>
        <v>-</v>
      </c>
      <c r="AH147" s="10"/>
      <c r="AI147" s="11">
        <v>0</v>
      </c>
      <c r="AJ147" s="11">
        <v>11.048</v>
      </c>
      <c r="AK147" s="11">
        <v>1.4E-2</v>
      </c>
      <c r="AL147" s="11" t="str">
        <f t="shared" si="132"/>
        <v>-</v>
      </c>
      <c r="AM147" s="11">
        <f t="shared" si="133"/>
        <v>11.048</v>
      </c>
      <c r="AN147" s="88">
        <f t="shared" si="134"/>
        <v>1.4E-2</v>
      </c>
    </row>
    <row r="148" spans="1:40" s="11" customFormat="1" x14ac:dyDescent="0.35">
      <c r="A148" s="144"/>
      <c r="B148" s="11">
        <v>155</v>
      </c>
      <c r="C148" s="41" t="s">
        <v>114</v>
      </c>
      <c r="D148" s="11" t="s">
        <v>43</v>
      </c>
      <c r="E148" s="11">
        <v>1</v>
      </c>
      <c r="F148" s="11">
        <v>858</v>
      </c>
      <c r="G148" s="11">
        <v>5</v>
      </c>
      <c r="H148" s="11">
        <v>110</v>
      </c>
      <c r="I148" s="11">
        <v>1</v>
      </c>
      <c r="J148" s="11">
        <v>5000</v>
      </c>
      <c r="K148" s="11">
        <v>65</v>
      </c>
      <c r="L148" s="11">
        <v>1</v>
      </c>
      <c r="M148" s="11">
        <f>(155+168.5+180+182+172.5+164.5)-(143.5+168.5+149+173+170.5+160.5)</f>
        <v>57.5</v>
      </c>
      <c r="R148" s="11" t="str">
        <f t="shared" si="148"/>
        <v/>
      </c>
      <c r="S148" s="11">
        <f t="shared" si="149"/>
        <v>0.34627823763527737</v>
      </c>
      <c r="T148" s="11">
        <f t="shared" si="150"/>
        <v>273.26299781389599</v>
      </c>
      <c r="U148" s="55" t="e">
        <f t="shared" si="144"/>
        <v>#DIV/0!</v>
      </c>
      <c r="V148" s="55">
        <f t="shared" si="145"/>
        <v>0.95459811730629984</v>
      </c>
      <c r="W148" s="55">
        <f t="shared" si="146"/>
        <v>1</v>
      </c>
      <c r="X148" s="11">
        <v>1503</v>
      </c>
      <c r="Y148" s="11">
        <v>1275</v>
      </c>
      <c r="Z148" s="87">
        <f t="shared" si="147"/>
        <v>0.15169660678642716</v>
      </c>
      <c r="AA148" s="10"/>
      <c r="AB148" s="11">
        <v>3.5799999999999998E-2</v>
      </c>
      <c r="AC148" s="11">
        <v>0.50160000000000005</v>
      </c>
      <c r="AD148" s="88">
        <v>0</v>
      </c>
      <c r="AE148" s="10">
        <f t="shared" si="141"/>
        <v>3.5799999999999998E-2</v>
      </c>
      <c r="AF148" s="11">
        <f t="shared" si="142"/>
        <v>0.50160000000000005</v>
      </c>
      <c r="AG148" s="88" t="str">
        <f t="shared" si="143"/>
        <v>-</v>
      </c>
      <c r="AH148" s="10"/>
      <c r="AI148" s="11">
        <v>0</v>
      </c>
      <c r="AJ148" s="11">
        <v>11.048</v>
      </c>
      <c r="AK148" s="11">
        <v>1.4E-2</v>
      </c>
      <c r="AL148" s="11" t="str">
        <f t="shared" si="132"/>
        <v>-</v>
      </c>
      <c r="AM148" s="11">
        <f t="shared" si="133"/>
        <v>11.048</v>
      </c>
      <c r="AN148" s="88">
        <f t="shared" si="134"/>
        <v>1.4E-2</v>
      </c>
    </row>
    <row r="149" spans="1:40" s="148" customFormat="1" ht="15" thickBot="1" x14ac:dyDescent="0.4">
      <c r="A149" s="145"/>
      <c r="B149" s="148">
        <v>156</v>
      </c>
      <c r="C149" s="178" t="s">
        <v>114</v>
      </c>
      <c r="D149" s="148" t="s">
        <v>43</v>
      </c>
      <c r="E149" s="148">
        <v>1</v>
      </c>
      <c r="F149" s="148">
        <v>858</v>
      </c>
      <c r="G149" s="148">
        <v>6</v>
      </c>
      <c r="H149" s="148">
        <v>140</v>
      </c>
      <c r="I149" s="148">
        <v>2</v>
      </c>
      <c r="J149" s="148">
        <v>5000</v>
      </c>
      <c r="K149" s="148">
        <v>65</v>
      </c>
      <c r="L149" s="148">
        <v>1</v>
      </c>
      <c r="M149" s="148">
        <f>(170.5+160.5)-(149+141.5)</f>
        <v>40.5</v>
      </c>
      <c r="R149" s="148" t="str">
        <f t="shared" si="148"/>
        <v/>
      </c>
      <c r="S149" s="148">
        <f t="shared" si="149"/>
        <v>0.64996841634954627</v>
      </c>
      <c r="T149" s="148">
        <f t="shared" si="150"/>
        <v>512.91793313069911</v>
      </c>
      <c r="U149" s="149" t="e">
        <f t="shared" si="144"/>
        <v>#DIV/0!</v>
      </c>
      <c r="V149" s="149">
        <f t="shared" si="145"/>
        <v>0.96442795076031851</v>
      </c>
      <c r="W149" s="149">
        <f t="shared" si="146"/>
        <v>1</v>
      </c>
      <c r="X149" s="148">
        <v>564</v>
      </c>
      <c r="Y149" s="148">
        <v>479</v>
      </c>
      <c r="Z149" s="150">
        <f t="shared" si="147"/>
        <v>0.150709219858156</v>
      </c>
      <c r="AA149" s="153"/>
      <c r="AB149" s="148">
        <v>2.5899999999999999E-2</v>
      </c>
      <c r="AC149" s="148">
        <v>0.39300000000000002</v>
      </c>
      <c r="AD149" s="152">
        <v>0</v>
      </c>
      <c r="AE149" s="153">
        <f t="shared" si="141"/>
        <v>2.5899999999999999E-2</v>
      </c>
      <c r="AF149" s="148">
        <f t="shared" si="142"/>
        <v>0.39300000000000002</v>
      </c>
      <c r="AG149" s="152" t="str">
        <f t="shared" si="143"/>
        <v>-</v>
      </c>
      <c r="AH149" s="153"/>
      <c r="AI149" s="148">
        <v>0</v>
      </c>
      <c r="AJ149" s="148">
        <v>11.048</v>
      </c>
      <c r="AK149" s="148">
        <v>1.4E-2</v>
      </c>
      <c r="AL149" s="148" t="str">
        <f t="shared" si="132"/>
        <v>-</v>
      </c>
      <c r="AM149" s="148">
        <f t="shared" si="133"/>
        <v>11.048</v>
      </c>
      <c r="AN149" s="152">
        <f t="shared" si="134"/>
        <v>1.4E-2</v>
      </c>
    </row>
    <row r="150" spans="1:40" s="11" customFormat="1" x14ac:dyDescent="0.35">
      <c r="A150" s="144"/>
      <c r="B150" s="11">
        <v>157</v>
      </c>
      <c r="C150" s="41" t="s">
        <v>115</v>
      </c>
      <c r="D150" s="11" t="s">
        <v>43</v>
      </c>
      <c r="E150" s="11">
        <v>1</v>
      </c>
      <c r="F150" s="11">
        <v>860</v>
      </c>
      <c r="G150" s="11">
        <v>1</v>
      </c>
      <c r="H150" s="11">
        <v>110</v>
      </c>
      <c r="I150" s="11">
        <v>1</v>
      </c>
      <c r="J150" s="11">
        <v>5000</v>
      </c>
      <c r="K150" s="11">
        <v>65</v>
      </c>
      <c r="L150" s="11">
        <v>1</v>
      </c>
      <c r="M150" s="11">
        <f>(158.5+166)-(130.5+137)</f>
        <v>57</v>
      </c>
      <c r="R150" s="11">
        <f t="shared" si="148"/>
        <v>6.9618490671122242</v>
      </c>
      <c r="S150" s="11">
        <f t="shared" si="149"/>
        <v>0.31522522053944491</v>
      </c>
      <c r="T150" s="11" t="str">
        <f t="shared" si="150"/>
        <v/>
      </c>
      <c r="U150" s="55">
        <f t="shared" si="144"/>
        <v>0.85119047619047616</v>
      </c>
      <c r="V150" s="55">
        <f t="shared" si="145"/>
        <v>0.93905309496002154</v>
      </c>
      <c r="W150" s="55" t="e">
        <f t="shared" si="146"/>
        <v>#DIV/0!</v>
      </c>
      <c r="X150" s="11">
        <v>1624.5</v>
      </c>
      <c r="Y150" s="11">
        <v>1349</v>
      </c>
      <c r="Z150" s="87">
        <f t="shared" si="147"/>
        <v>0.16959064327485385</v>
      </c>
      <c r="AA150" s="10"/>
      <c r="AB150" s="108">
        <v>7.4999999999999997E-2</v>
      </c>
      <c r="AC150" s="11">
        <v>0.6784</v>
      </c>
      <c r="AD150" s="88">
        <v>0</v>
      </c>
      <c r="AE150" s="10">
        <f t="shared" si="141"/>
        <v>7.4999999999999997E-2</v>
      </c>
      <c r="AF150" s="11">
        <f t="shared" si="142"/>
        <v>0.6784</v>
      </c>
      <c r="AG150" s="88" t="str">
        <f t="shared" si="143"/>
        <v>-</v>
      </c>
      <c r="AH150" s="10"/>
      <c r="AI150" s="11">
        <v>0.504</v>
      </c>
      <c r="AJ150" s="11">
        <v>11.131</v>
      </c>
      <c r="AK150" s="88">
        <v>0</v>
      </c>
      <c r="AL150" s="10">
        <f t="shared" si="132"/>
        <v>0.504</v>
      </c>
      <c r="AM150" s="11">
        <f t="shared" si="133"/>
        <v>11.131</v>
      </c>
      <c r="AN150" s="88" t="str">
        <f t="shared" si="134"/>
        <v>-</v>
      </c>
    </row>
    <row r="151" spans="1:40" s="11" customFormat="1" ht="15" thickBot="1" x14ac:dyDescent="0.4">
      <c r="A151" s="144"/>
      <c r="B151" s="11">
        <v>158</v>
      </c>
      <c r="C151" s="41" t="s">
        <v>116</v>
      </c>
      <c r="D151" s="11" t="s">
        <v>43</v>
      </c>
      <c r="E151" s="11">
        <v>1</v>
      </c>
      <c r="F151" s="11">
        <v>860</v>
      </c>
      <c r="G151" s="11">
        <v>4</v>
      </c>
      <c r="H151" s="11">
        <v>110</v>
      </c>
      <c r="I151" s="11">
        <v>2</v>
      </c>
      <c r="J151" s="11">
        <v>5000</v>
      </c>
      <c r="K151" s="11">
        <v>65</v>
      </c>
      <c r="L151" s="11">
        <v>1</v>
      </c>
      <c r="M151" s="11">
        <f>(172+161.5)-(147.5+136)</f>
        <v>50</v>
      </c>
      <c r="R151" s="11">
        <f t="shared" si="148"/>
        <v>6.4629543456905019</v>
      </c>
      <c r="S151" s="11">
        <f t="shared" si="149"/>
        <v>0.29263579105453358</v>
      </c>
      <c r="T151" s="11" t="str">
        <f t="shared" si="150"/>
        <v/>
      </c>
      <c r="U151" s="55">
        <f t="shared" si="144"/>
        <v>0.87876984126984126</v>
      </c>
      <c r="V151" s="55">
        <f t="shared" si="145"/>
        <v>0.9362860479741264</v>
      </c>
      <c r="W151" s="55" t="e">
        <f t="shared" si="146"/>
        <v>#DIV/0!</v>
      </c>
      <c r="X151" s="11">
        <v>1535</v>
      </c>
      <c r="Y151" s="11">
        <v>1293</v>
      </c>
      <c r="Z151" s="87">
        <f t="shared" si="147"/>
        <v>0.15765472312703588</v>
      </c>
      <c r="AA151" s="10"/>
      <c r="AB151" s="11">
        <v>6.1100000000000002E-2</v>
      </c>
      <c r="AC151" s="11">
        <v>0.70920000000000005</v>
      </c>
      <c r="AD151" s="88">
        <v>0</v>
      </c>
      <c r="AE151" s="10">
        <f t="shared" si="141"/>
        <v>6.1100000000000002E-2</v>
      </c>
      <c r="AF151" s="11">
        <f t="shared" si="142"/>
        <v>0.70920000000000005</v>
      </c>
      <c r="AG151" s="88" t="str">
        <f t="shared" si="143"/>
        <v>-</v>
      </c>
      <c r="AH151" s="10"/>
      <c r="AI151" s="11">
        <v>0.504</v>
      </c>
      <c r="AJ151" s="11">
        <v>11.131</v>
      </c>
      <c r="AK151" s="88">
        <v>0</v>
      </c>
      <c r="AL151" s="10">
        <f t="shared" si="132"/>
        <v>0.504</v>
      </c>
      <c r="AM151" s="11">
        <f t="shared" si="133"/>
        <v>11.131</v>
      </c>
      <c r="AN151" s="88" t="str">
        <f t="shared" si="134"/>
        <v>-</v>
      </c>
    </row>
    <row r="152" spans="1:40" s="155" customFormat="1" x14ac:dyDescent="0.35">
      <c r="A152" s="154"/>
      <c r="B152" s="155">
        <v>160</v>
      </c>
      <c r="C152" s="156" t="s">
        <v>117</v>
      </c>
      <c r="D152" s="155" t="s">
        <v>80</v>
      </c>
      <c r="F152" s="155">
        <v>543</v>
      </c>
      <c r="G152" s="155">
        <v>1</v>
      </c>
      <c r="H152" s="155">
        <v>180</v>
      </c>
      <c r="I152" s="155">
        <v>1</v>
      </c>
      <c r="J152" s="155">
        <v>5000</v>
      </c>
      <c r="K152" s="155">
        <v>65</v>
      </c>
      <c r="L152" s="155">
        <v>1</v>
      </c>
      <c r="M152" s="155">
        <v>81</v>
      </c>
      <c r="R152" s="155">
        <f t="shared" si="148"/>
        <v>0.38018030872518505</v>
      </c>
      <c r="S152" s="155">
        <f t="shared" si="149"/>
        <v>140.15295705436552</v>
      </c>
      <c r="T152" s="155">
        <f t="shared" si="150"/>
        <v>36.51872824656003</v>
      </c>
      <c r="U152" s="157">
        <f t="shared" si="144"/>
        <v>0.83064516129032251</v>
      </c>
      <c r="V152" s="157">
        <f t="shared" si="145"/>
        <v>1</v>
      </c>
      <c r="W152" s="157">
        <f t="shared" si="146"/>
        <v>-2.816901408450785E-3</v>
      </c>
      <c r="X152" s="155">
        <v>1562</v>
      </c>
      <c r="Y152" s="155">
        <v>1307</v>
      </c>
      <c r="Z152" s="158">
        <f t="shared" si="147"/>
        <v>0.16325224071702948</v>
      </c>
      <c r="AA152" s="159"/>
      <c r="AB152" s="179">
        <v>2.31</v>
      </c>
      <c r="AC152" s="155">
        <v>0</v>
      </c>
      <c r="AD152" s="160">
        <v>0.1424</v>
      </c>
      <c r="AE152" s="159">
        <f t="shared" ref="AE152:AE178" si="151">IF(AB152,AB152/(1-$AA152),"-")</f>
        <v>2.31</v>
      </c>
      <c r="AF152" s="155" t="str">
        <f t="shared" ref="AF152:AF178" si="152">IF(AC152,AC152/(1-$AA152),"-")</f>
        <v>-</v>
      </c>
      <c r="AG152" s="160">
        <f t="shared" ref="AG152:AG178" si="153">IF(AD152,AD152/(1-$AA152),"-")</f>
        <v>0.1424</v>
      </c>
      <c r="AH152" s="159"/>
      <c r="AI152" s="179">
        <v>13.64</v>
      </c>
      <c r="AJ152" s="155">
        <v>3.6999999999999998E-2</v>
      </c>
      <c r="AK152" s="155">
        <v>0.14199999999999999</v>
      </c>
      <c r="AL152" s="155">
        <f t="shared" si="132"/>
        <v>13.64</v>
      </c>
      <c r="AM152" s="155">
        <f t="shared" si="133"/>
        <v>3.6999999999999998E-2</v>
      </c>
      <c r="AN152" s="160">
        <f t="shared" si="134"/>
        <v>0.14199999999999999</v>
      </c>
    </row>
    <row r="153" spans="1:40" s="17" customFormat="1" x14ac:dyDescent="0.35">
      <c r="A153" s="161"/>
      <c r="B153" s="17">
        <v>161</v>
      </c>
      <c r="C153" s="38" t="s">
        <v>118</v>
      </c>
      <c r="D153" s="17" t="s">
        <v>80</v>
      </c>
      <c r="F153" s="17">
        <v>543</v>
      </c>
      <c r="G153" s="17">
        <v>4</v>
      </c>
      <c r="H153" s="17">
        <v>150</v>
      </c>
      <c r="I153" s="17">
        <v>2</v>
      </c>
      <c r="J153" s="17">
        <v>5000</v>
      </c>
      <c r="K153" s="17">
        <v>65</v>
      </c>
      <c r="L153" s="17">
        <v>1</v>
      </c>
      <c r="M153" s="17">
        <f>(149+162.5+169.5+182+161.5+166.5)-(136.5+149.5+138+176.5+158.5+162)</f>
        <v>70</v>
      </c>
      <c r="R153" s="17">
        <f t="shared" si="148"/>
        <v>0.34350500732156386</v>
      </c>
      <c r="S153" s="17">
        <f t="shared" si="149"/>
        <v>126.63265675313869</v>
      </c>
      <c r="T153" s="17">
        <f t="shared" si="150"/>
        <v>32.99583309764882</v>
      </c>
      <c r="U153" s="91">
        <f t="shared" si="144"/>
        <v>0.85857771260997062</v>
      </c>
      <c r="V153" s="91">
        <f t="shared" si="145"/>
        <v>1</v>
      </c>
      <c r="W153" s="91">
        <f t="shared" si="146"/>
        <v>0.18380281690140834</v>
      </c>
      <c r="X153" s="17">
        <v>1494</v>
      </c>
      <c r="Y153" s="17">
        <v>1281.5</v>
      </c>
      <c r="Z153" s="93">
        <f t="shared" si="147"/>
        <v>0.14223560910307897</v>
      </c>
      <c r="AA153" s="16"/>
      <c r="AB153" s="110">
        <v>1.929</v>
      </c>
      <c r="AC153" s="17">
        <v>0</v>
      </c>
      <c r="AD153" s="21">
        <v>0.1159</v>
      </c>
      <c r="AE153" s="16">
        <f t="shared" si="151"/>
        <v>1.929</v>
      </c>
      <c r="AF153" s="17" t="str">
        <f t="shared" si="152"/>
        <v>-</v>
      </c>
      <c r="AG153" s="21">
        <f t="shared" si="153"/>
        <v>0.1159</v>
      </c>
      <c r="AH153" s="16"/>
      <c r="AI153" s="40">
        <v>13.64</v>
      </c>
      <c r="AJ153" s="17">
        <v>3.6999999999999998E-2</v>
      </c>
      <c r="AK153" s="17">
        <v>0.14199999999999999</v>
      </c>
      <c r="AL153" s="17">
        <f t="shared" ref="AL153:AL210" si="154">IF(AI153,AI153/(1-$AH153),"-")</f>
        <v>13.64</v>
      </c>
      <c r="AM153" s="17">
        <f t="shared" ref="AM153:AM210" si="155">IF(AJ153,AJ153/(1-$AH153),"-")</f>
        <v>3.6999999999999998E-2</v>
      </c>
      <c r="AN153" s="21">
        <f t="shared" ref="AN153:AN210" si="156">IF(AK153,AK153/(1-$AH153),"-")</f>
        <v>0.14199999999999999</v>
      </c>
    </row>
    <row r="154" spans="1:40" s="163" customFormat="1" ht="15" thickBot="1" x14ac:dyDescent="0.4">
      <c r="A154" s="162"/>
      <c r="B154" s="163">
        <v>163</v>
      </c>
      <c r="C154" s="164" t="s">
        <v>118</v>
      </c>
      <c r="D154" s="163" t="s">
        <v>80</v>
      </c>
      <c r="F154" s="163">
        <v>543</v>
      </c>
      <c r="G154" s="163">
        <v>6</v>
      </c>
      <c r="H154" s="163">
        <v>105</v>
      </c>
      <c r="I154" s="163">
        <v>1</v>
      </c>
      <c r="J154" s="163">
        <v>5000</v>
      </c>
      <c r="K154" s="163">
        <v>65</v>
      </c>
      <c r="L154" s="163">
        <v>1</v>
      </c>
      <c r="M154" s="163">
        <f>(147+153+171+163.5)-(137+141.5+149.5+141.5)</f>
        <v>65</v>
      </c>
      <c r="R154" s="163">
        <f t="shared" si="148"/>
        <v>0.50162062046612133</v>
      </c>
      <c r="S154" s="163">
        <f t="shared" si="149"/>
        <v>184.92176386913229</v>
      </c>
      <c r="T154" s="163">
        <f t="shared" si="150"/>
        <v>48.183839881393631</v>
      </c>
      <c r="U154" s="165">
        <f t="shared" si="144"/>
        <v>0.82866568914956018</v>
      </c>
      <c r="V154" s="165">
        <f t="shared" si="145"/>
        <v>1</v>
      </c>
      <c r="W154" s="165">
        <f t="shared" si="146"/>
        <v>-5.7746478873239533E-2</v>
      </c>
      <c r="X154" s="163">
        <v>950</v>
      </c>
      <c r="Y154" s="163">
        <v>826</v>
      </c>
      <c r="Z154" s="166">
        <f t="shared" si="147"/>
        <v>0.13052631578947371</v>
      </c>
      <c r="AA154" s="167"/>
      <c r="AB154" s="163">
        <v>2.3370000000000002</v>
      </c>
      <c r="AC154" s="163">
        <v>0</v>
      </c>
      <c r="AD154" s="168">
        <v>0.1502</v>
      </c>
      <c r="AE154" s="167">
        <f t="shared" si="151"/>
        <v>2.3370000000000002</v>
      </c>
      <c r="AF154" s="163" t="str">
        <f t="shared" si="152"/>
        <v>-</v>
      </c>
      <c r="AG154" s="168">
        <f t="shared" si="153"/>
        <v>0.1502</v>
      </c>
      <c r="AH154" s="167"/>
      <c r="AI154" s="180">
        <v>13.64</v>
      </c>
      <c r="AJ154" s="163">
        <v>3.6999999999999998E-2</v>
      </c>
      <c r="AK154" s="163">
        <v>0.14199999999999999</v>
      </c>
      <c r="AL154" s="163">
        <f t="shared" si="154"/>
        <v>13.64</v>
      </c>
      <c r="AM154" s="163">
        <f t="shared" si="155"/>
        <v>3.6999999999999998E-2</v>
      </c>
      <c r="AN154" s="168">
        <f t="shared" si="156"/>
        <v>0.14199999999999999</v>
      </c>
    </row>
    <row r="155" spans="1:40" s="138" customFormat="1" x14ac:dyDescent="0.35">
      <c r="A155" s="135"/>
      <c r="B155" s="138">
        <v>164</v>
      </c>
      <c r="C155" s="177" t="s">
        <v>119</v>
      </c>
      <c r="D155" s="138" t="s">
        <v>56</v>
      </c>
      <c r="E155" s="138">
        <v>1</v>
      </c>
      <c r="F155" s="138">
        <v>473</v>
      </c>
      <c r="G155" s="138">
        <v>1</v>
      </c>
      <c r="H155" s="138">
        <v>90</v>
      </c>
      <c r="I155" s="138">
        <v>1</v>
      </c>
      <c r="J155" s="138">
        <v>5000</v>
      </c>
      <c r="K155" s="138">
        <v>65</v>
      </c>
      <c r="L155" s="138">
        <v>1</v>
      </c>
      <c r="M155" s="138">
        <f>(181.5+179)-(155.5+153)</f>
        <v>52</v>
      </c>
      <c r="R155" s="138">
        <f t="shared" si="148"/>
        <v>8.2771442578903471</v>
      </c>
      <c r="S155" s="138">
        <f t="shared" si="149"/>
        <v>0.27239774764779306</v>
      </c>
      <c r="T155" s="138">
        <f t="shared" si="150"/>
        <v>120.33694344163659</v>
      </c>
      <c r="U155" s="139">
        <f t="shared" si="144"/>
        <v>0.96772486772486777</v>
      </c>
      <c r="V155" s="139">
        <f t="shared" si="145"/>
        <v>0.88885599860699982</v>
      </c>
      <c r="W155" s="139">
        <f t="shared" si="146"/>
        <v>0.44615384615384612</v>
      </c>
      <c r="X155" s="138">
        <v>1662</v>
      </c>
      <c r="Y155" s="138">
        <v>1367</v>
      </c>
      <c r="Z155" s="140">
        <f t="shared" si="147"/>
        <v>0.17749699157641396</v>
      </c>
      <c r="AB155" s="138">
        <v>1.2200000000000001E-2</v>
      </c>
      <c r="AC155" s="138">
        <v>1.2766</v>
      </c>
      <c r="AD155" s="138">
        <v>1.44E-2</v>
      </c>
      <c r="AE155" s="138">
        <f t="shared" si="151"/>
        <v>1.2200000000000001E-2</v>
      </c>
      <c r="AF155" s="138">
        <f t="shared" si="152"/>
        <v>1.2766</v>
      </c>
      <c r="AG155" s="138">
        <f t="shared" si="153"/>
        <v>1.44E-2</v>
      </c>
      <c r="AI155" s="138">
        <v>0.378</v>
      </c>
      <c r="AJ155" s="138">
        <v>11.486000000000001</v>
      </c>
      <c r="AK155" s="138">
        <v>2.5999999999999999E-2</v>
      </c>
      <c r="AL155" s="138">
        <f t="shared" si="154"/>
        <v>0.378</v>
      </c>
      <c r="AM155" s="138">
        <f t="shared" si="155"/>
        <v>11.486000000000001</v>
      </c>
      <c r="AN155" s="138">
        <f t="shared" si="156"/>
        <v>2.5999999999999999E-2</v>
      </c>
    </row>
    <row r="156" spans="1:40" s="148" customFormat="1" ht="15" thickBot="1" x14ac:dyDescent="0.4">
      <c r="A156" s="145"/>
      <c r="B156" s="148">
        <v>165</v>
      </c>
      <c r="C156" s="178" t="s">
        <v>119</v>
      </c>
      <c r="D156" s="148" t="s">
        <v>56</v>
      </c>
      <c r="E156" s="148">
        <v>1</v>
      </c>
      <c r="F156" s="148">
        <v>473</v>
      </c>
      <c r="G156" s="148">
        <v>2</v>
      </c>
      <c r="H156" s="148">
        <v>120</v>
      </c>
      <c r="I156" s="148">
        <v>2</v>
      </c>
      <c r="J156" s="148">
        <v>5000</v>
      </c>
      <c r="K156" s="148">
        <v>65</v>
      </c>
      <c r="L156" s="148">
        <v>1</v>
      </c>
      <c r="M156" s="148">
        <f>(164.5+151)-(134+129.5)</f>
        <v>52</v>
      </c>
      <c r="R156" s="148">
        <f t="shared" si="148"/>
        <v>8.2771442578903471</v>
      </c>
      <c r="S156" s="148">
        <f t="shared" si="149"/>
        <v>0.27239774764779306</v>
      </c>
      <c r="T156" s="148">
        <f t="shared" si="150"/>
        <v>120.33694344163659</v>
      </c>
      <c r="U156" s="149">
        <f t="shared" si="144"/>
        <v>0.85714285714285721</v>
      </c>
      <c r="V156" s="149">
        <f t="shared" si="145"/>
        <v>0.92947936618492077</v>
      </c>
      <c r="W156" s="149">
        <f t="shared" si="146"/>
        <v>0.46153846153846151</v>
      </c>
      <c r="X156" s="148">
        <v>1662</v>
      </c>
      <c r="Y156" s="148">
        <v>1351.5</v>
      </c>
      <c r="Z156" s="150">
        <f t="shared" si="147"/>
        <v>0.18682310469314078</v>
      </c>
      <c r="AB156" s="148">
        <v>5.3999999999999999E-2</v>
      </c>
      <c r="AC156" s="190">
        <v>0.81</v>
      </c>
      <c r="AD156" s="148">
        <v>1.4E-2</v>
      </c>
      <c r="AE156" s="148">
        <f t="shared" si="151"/>
        <v>5.3999999999999999E-2</v>
      </c>
      <c r="AF156" s="148">
        <f t="shared" si="152"/>
        <v>0.81</v>
      </c>
      <c r="AG156" s="148">
        <f t="shared" si="153"/>
        <v>1.4E-2</v>
      </c>
      <c r="AI156" s="148">
        <v>0.378</v>
      </c>
      <c r="AJ156" s="148">
        <v>11.486000000000001</v>
      </c>
      <c r="AK156" s="148">
        <v>2.5999999999999999E-2</v>
      </c>
      <c r="AL156" s="148">
        <f t="shared" si="154"/>
        <v>0.378</v>
      </c>
      <c r="AM156" s="148">
        <f t="shared" si="155"/>
        <v>11.486000000000001</v>
      </c>
      <c r="AN156" s="148">
        <f t="shared" si="156"/>
        <v>2.5999999999999999E-2</v>
      </c>
    </row>
    <row r="157" spans="1:40" s="15" customFormat="1" x14ac:dyDescent="0.35">
      <c r="A157" s="169"/>
      <c r="B157" s="15">
        <v>168</v>
      </c>
      <c r="C157" s="47" t="s">
        <v>120</v>
      </c>
      <c r="D157" s="15" t="s">
        <v>9</v>
      </c>
      <c r="E157" s="15">
        <v>1</v>
      </c>
      <c r="F157" s="15">
        <v>891</v>
      </c>
      <c r="G157" s="15">
        <v>1</v>
      </c>
      <c r="H157" s="15">
        <v>150</v>
      </c>
      <c r="I157" s="15">
        <v>1</v>
      </c>
      <c r="J157" s="15">
        <v>5000</v>
      </c>
      <c r="K157" s="15">
        <v>65</v>
      </c>
      <c r="L157" s="15">
        <v>1</v>
      </c>
      <c r="M157" s="15">
        <f>(153+174+170+180.5)-(128+147.5+144+152.5)</f>
        <v>105.5</v>
      </c>
      <c r="R157" s="15">
        <f t="shared" si="148"/>
        <v>0.8891338572059454</v>
      </c>
      <c r="S157" s="15">
        <f t="shared" si="149"/>
        <v>0.55340488255227172</v>
      </c>
      <c r="T157" s="15">
        <f t="shared" si="150"/>
        <v>219.51727007906783</v>
      </c>
      <c r="U157" s="97">
        <f t="shared" si="144"/>
        <v>0.86398139813981401</v>
      </c>
      <c r="V157" s="97">
        <f t="shared" si="145"/>
        <v>0.93874883286647992</v>
      </c>
      <c r="W157" s="97">
        <f t="shared" si="146"/>
        <v>0.77407407407407403</v>
      </c>
      <c r="X157" s="15">
        <v>1780</v>
      </c>
      <c r="Y157" s="15">
        <v>1355.5</v>
      </c>
      <c r="Z157" s="100">
        <f t="shared" si="147"/>
        <v>0.23848314606741572</v>
      </c>
      <c r="AA157" s="14"/>
      <c r="AB157" s="15">
        <v>0.90669999999999995</v>
      </c>
      <c r="AC157" s="127">
        <v>0.65600000000000003</v>
      </c>
      <c r="AD157" s="101">
        <v>6.1000000000000004E-3</v>
      </c>
      <c r="AE157" s="14">
        <f t="shared" si="151"/>
        <v>0.90669999999999995</v>
      </c>
      <c r="AF157" s="15">
        <f t="shared" si="152"/>
        <v>0.65600000000000003</v>
      </c>
      <c r="AG157" s="101">
        <f t="shared" si="153"/>
        <v>6.1000000000000004E-3</v>
      </c>
      <c r="AH157" s="14"/>
      <c r="AI157" s="15">
        <v>6.6660000000000004</v>
      </c>
      <c r="AJ157" s="15">
        <v>10.71</v>
      </c>
      <c r="AK157" s="101">
        <v>2.7E-2</v>
      </c>
      <c r="AL157" s="14">
        <f t="shared" si="154"/>
        <v>6.6660000000000004</v>
      </c>
      <c r="AM157" s="15">
        <f t="shared" si="155"/>
        <v>10.71</v>
      </c>
      <c r="AN157" s="101">
        <f t="shared" si="156"/>
        <v>2.7E-2</v>
      </c>
    </row>
    <row r="158" spans="1:40" s="15" customFormat="1" x14ac:dyDescent="0.35">
      <c r="A158" s="169"/>
      <c r="B158" s="15">
        <v>169</v>
      </c>
      <c r="C158" s="47" t="s">
        <v>121</v>
      </c>
      <c r="D158" s="15" t="s">
        <v>9</v>
      </c>
      <c r="E158" s="15">
        <v>1</v>
      </c>
      <c r="F158" s="15">
        <v>891</v>
      </c>
      <c r="G158" s="15">
        <v>3</v>
      </c>
      <c r="H158" s="15">
        <v>130</v>
      </c>
      <c r="I158" s="15">
        <v>1</v>
      </c>
      <c r="J158" s="15">
        <v>5000</v>
      </c>
      <c r="K158" s="15">
        <v>65</v>
      </c>
      <c r="L158" s="15">
        <v>1</v>
      </c>
      <c r="M158" s="15">
        <f>(148+162.5+144+152.5)-(121.5+132.5+136+148)</f>
        <v>69</v>
      </c>
      <c r="R158" s="15">
        <f t="shared" si="148"/>
        <v>0.61613304187561613</v>
      </c>
      <c r="S158" s="15">
        <f t="shared" si="149"/>
        <v>0.38348672802454309</v>
      </c>
      <c r="T158" s="15">
        <f t="shared" si="150"/>
        <v>152.11640211640213</v>
      </c>
      <c r="U158" s="97">
        <f t="shared" si="144"/>
        <v>0.83549354935493547</v>
      </c>
      <c r="V158" s="97">
        <f t="shared" si="145"/>
        <v>0.93663865546218494</v>
      </c>
      <c r="W158" s="97">
        <f t="shared" si="146"/>
        <v>0.73703703703703705</v>
      </c>
      <c r="X158" s="15">
        <v>1680</v>
      </c>
      <c r="Y158" s="15">
        <v>1304</v>
      </c>
      <c r="Z158" s="100">
        <f t="shared" si="147"/>
        <v>0.22380952380952379</v>
      </c>
      <c r="AA158" s="14"/>
      <c r="AB158" s="15">
        <v>1.0966</v>
      </c>
      <c r="AC158" s="15">
        <v>0.67859999999999998</v>
      </c>
      <c r="AD158" s="101">
        <v>7.1000000000000004E-3</v>
      </c>
      <c r="AE158" s="14">
        <f t="shared" si="151"/>
        <v>1.0966</v>
      </c>
      <c r="AF158" s="15">
        <f t="shared" si="152"/>
        <v>0.67859999999999998</v>
      </c>
      <c r="AG158" s="101">
        <f t="shared" si="153"/>
        <v>7.1000000000000004E-3</v>
      </c>
      <c r="AH158" s="14"/>
      <c r="AI158" s="15">
        <v>6.6660000000000004</v>
      </c>
      <c r="AJ158" s="15">
        <v>10.71</v>
      </c>
      <c r="AK158" s="15">
        <v>2.7E-2</v>
      </c>
      <c r="AL158" s="15">
        <f t="shared" si="154"/>
        <v>6.6660000000000004</v>
      </c>
      <c r="AM158" s="15">
        <f t="shared" si="155"/>
        <v>10.71</v>
      </c>
      <c r="AN158" s="101">
        <f t="shared" si="156"/>
        <v>2.7E-2</v>
      </c>
    </row>
    <row r="159" spans="1:40" s="15" customFormat="1" x14ac:dyDescent="0.35">
      <c r="A159" s="169"/>
      <c r="B159" s="15">
        <v>170</v>
      </c>
      <c r="C159" s="47" t="s">
        <v>121</v>
      </c>
      <c r="D159" s="15" t="s">
        <v>9</v>
      </c>
      <c r="E159" s="15">
        <v>1</v>
      </c>
      <c r="F159" s="15">
        <v>891</v>
      </c>
      <c r="G159" s="15">
        <v>4</v>
      </c>
      <c r="H159" s="15">
        <v>130</v>
      </c>
      <c r="I159" s="15">
        <v>1</v>
      </c>
      <c r="J159" s="15">
        <v>5000</v>
      </c>
      <c r="K159" s="15">
        <v>65</v>
      </c>
      <c r="L159" s="15">
        <v>1</v>
      </c>
      <c r="M159" s="15">
        <f>(178+168)-(148.5+137.5)</f>
        <v>60</v>
      </c>
      <c r="R159" s="15">
        <f t="shared" si="148"/>
        <v>0.48944535562854818</v>
      </c>
      <c r="S159" s="15">
        <f t="shared" si="149"/>
        <v>0.30463517652846889</v>
      </c>
      <c r="T159" s="15">
        <f t="shared" si="150"/>
        <v>120.83862002295933</v>
      </c>
      <c r="U159" s="97">
        <f t="shared" si="144"/>
        <v>0.75643564356435644</v>
      </c>
      <c r="V159" s="97">
        <f t="shared" si="145"/>
        <v>0.89169934640522874</v>
      </c>
      <c r="W159" s="97">
        <f t="shared" si="146"/>
        <v>0.58518518518518525</v>
      </c>
      <c r="X159" s="15">
        <v>1839</v>
      </c>
      <c r="Y159" s="15">
        <v>1456</v>
      </c>
      <c r="Z159" s="100">
        <f t="shared" si="147"/>
        <v>0.20826536160957043</v>
      </c>
      <c r="AA159" s="14"/>
      <c r="AB159" s="15">
        <v>1.6235999999999999</v>
      </c>
      <c r="AC159" s="15">
        <v>1.1598999999999999</v>
      </c>
      <c r="AD159" s="101">
        <v>1.12E-2</v>
      </c>
      <c r="AE159" s="14">
        <f t="shared" si="151"/>
        <v>1.6235999999999999</v>
      </c>
      <c r="AF159" s="15">
        <f t="shared" si="152"/>
        <v>1.1598999999999999</v>
      </c>
      <c r="AG159" s="101">
        <f t="shared" si="153"/>
        <v>1.12E-2</v>
      </c>
      <c r="AH159" s="14"/>
      <c r="AI159" s="15">
        <v>6.6660000000000004</v>
      </c>
      <c r="AJ159" s="15">
        <v>10.71</v>
      </c>
      <c r="AK159" s="15">
        <v>2.7E-2</v>
      </c>
      <c r="AL159" s="15">
        <f t="shared" si="154"/>
        <v>6.6660000000000004</v>
      </c>
      <c r="AM159" s="15">
        <f t="shared" si="155"/>
        <v>10.71</v>
      </c>
      <c r="AN159" s="101">
        <f t="shared" si="156"/>
        <v>2.7E-2</v>
      </c>
    </row>
    <row r="160" spans="1:40" s="15" customFormat="1" x14ac:dyDescent="0.35">
      <c r="A160" s="169"/>
      <c r="B160" s="15">
        <v>171</v>
      </c>
      <c r="C160" s="47" t="s">
        <v>121</v>
      </c>
      <c r="D160" s="15" t="s">
        <v>9</v>
      </c>
      <c r="E160" s="15">
        <v>1</v>
      </c>
      <c r="F160" s="15">
        <v>891</v>
      </c>
      <c r="G160" s="15">
        <v>6</v>
      </c>
      <c r="H160" s="15">
        <v>110</v>
      </c>
      <c r="I160" s="15">
        <v>1</v>
      </c>
      <c r="J160" s="15">
        <v>5000</v>
      </c>
      <c r="K160" s="15">
        <v>65</v>
      </c>
      <c r="L160" s="15">
        <v>1</v>
      </c>
      <c r="M160" s="15">
        <f>(174+122.5)-(144.5+97)</f>
        <v>55</v>
      </c>
      <c r="R160" s="15">
        <f t="shared" si="148"/>
        <v>0.48995398352186764</v>
      </c>
      <c r="S160" s="15">
        <f t="shared" si="149"/>
        <v>0.30495175108840045</v>
      </c>
      <c r="T160" s="15">
        <f t="shared" si="150"/>
        <v>120.96419459839886</v>
      </c>
      <c r="U160" s="97">
        <f t="shared" si="144"/>
        <v>0.72385238523852391</v>
      </c>
      <c r="V160" s="97">
        <f t="shared" si="145"/>
        <v>0.86661998132586371</v>
      </c>
      <c r="W160" s="97">
        <f t="shared" si="146"/>
        <v>1</v>
      </c>
      <c r="X160" s="15">
        <v>1684</v>
      </c>
      <c r="Y160" s="15">
        <v>1351.5</v>
      </c>
      <c r="Z160" s="100">
        <f t="shared" si="147"/>
        <v>0.19744655581947745</v>
      </c>
      <c r="AA160" s="14"/>
      <c r="AB160" s="15">
        <v>1.8408</v>
      </c>
      <c r="AC160" s="15">
        <v>1.4285000000000001</v>
      </c>
      <c r="AD160" s="101">
        <v>0</v>
      </c>
      <c r="AE160" s="14">
        <f t="shared" si="151"/>
        <v>1.8408</v>
      </c>
      <c r="AF160" s="15">
        <f t="shared" si="152"/>
        <v>1.4285000000000001</v>
      </c>
      <c r="AG160" s="101" t="str">
        <f t="shared" si="153"/>
        <v>-</v>
      </c>
      <c r="AH160" s="14"/>
      <c r="AI160" s="15">
        <v>6.6660000000000004</v>
      </c>
      <c r="AJ160" s="15">
        <v>10.71</v>
      </c>
      <c r="AK160" s="15">
        <v>2.7E-2</v>
      </c>
      <c r="AL160" s="15">
        <f t="shared" si="154"/>
        <v>6.6660000000000004</v>
      </c>
      <c r="AM160" s="15">
        <f t="shared" si="155"/>
        <v>10.71</v>
      </c>
      <c r="AN160" s="101">
        <f t="shared" si="156"/>
        <v>2.7E-2</v>
      </c>
    </row>
    <row r="161" spans="1:40" s="171" customFormat="1" ht="15" thickBot="1" x14ac:dyDescent="0.4">
      <c r="A161" s="170"/>
      <c r="B161" s="171">
        <v>173</v>
      </c>
      <c r="C161" s="172" t="s">
        <v>122</v>
      </c>
      <c r="D161" s="171" t="s">
        <v>9</v>
      </c>
      <c r="E161" s="171">
        <v>1</v>
      </c>
      <c r="F161" s="171">
        <v>891</v>
      </c>
      <c r="G161" s="171">
        <v>8</v>
      </c>
      <c r="H161" s="171">
        <v>110</v>
      </c>
      <c r="I161" s="171">
        <v>1</v>
      </c>
      <c r="J161" s="171">
        <v>5000</v>
      </c>
      <c r="K161" s="171">
        <v>65</v>
      </c>
      <c r="L161" s="171">
        <v>1</v>
      </c>
      <c r="M161" s="171">
        <f>(172+154+170.5+162)-(168.5+128+158+149)</f>
        <v>55</v>
      </c>
      <c r="R161" s="171">
        <f t="shared" si="148"/>
        <v>0.49554505000049553</v>
      </c>
      <c r="S161" s="171">
        <f t="shared" si="149"/>
        <v>0.30843168098070056</v>
      </c>
      <c r="T161" s="171">
        <f t="shared" si="150"/>
        <v>122.34456678901124</v>
      </c>
      <c r="U161" s="173">
        <f t="shared" si="144"/>
        <v>0.84002400240024011</v>
      </c>
      <c r="V161" s="173">
        <f t="shared" si="145"/>
        <v>0.93686274509803924</v>
      </c>
      <c r="W161" s="173">
        <f t="shared" si="146"/>
        <v>0.73333333333333328</v>
      </c>
      <c r="X161" s="171">
        <v>1665</v>
      </c>
      <c r="Y161" s="171">
        <v>1289.5</v>
      </c>
      <c r="Z161" s="174">
        <f t="shared" si="147"/>
        <v>0.22552552552552552</v>
      </c>
      <c r="AA161" s="175"/>
      <c r="AB161" s="171">
        <v>1.0664</v>
      </c>
      <c r="AC161" s="171">
        <v>0.67620000000000002</v>
      </c>
      <c r="AD161" s="176">
        <v>7.1999999999999998E-3</v>
      </c>
      <c r="AE161" s="175">
        <f t="shared" si="151"/>
        <v>1.0664</v>
      </c>
      <c r="AF161" s="171">
        <f t="shared" si="152"/>
        <v>0.67620000000000002</v>
      </c>
      <c r="AG161" s="176">
        <f t="shared" si="153"/>
        <v>7.1999999999999998E-3</v>
      </c>
      <c r="AH161" s="175"/>
      <c r="AI161" s="171">
        <v>6.6660000000000004</v>
      </c>
      <c r="AJ161" s="171">
        <v>10.71</v>
      </c>
      <c r="AK161" s="171">
        <v>2.7E-2</v>
      </c>
      <c r="AL161" s="171">
        <f t="shared" si="154"/>
        <v>6.6660000000000004</v>
      </c>
      <c r="AM161" s="171">
        <f t="shared" si="155"/>
        <v>10.71</v>
      </c>
      <c r="AN161" s="176">
        <f t="shared" si="156"/>
        <v>2.7E-2</v>
      </c>
    </row>
    <row r="162" spans="1:40" s="17" customFormat="1" ht="15" thickBot="1" x14ac:dyDescent="0.4">
      <c r="A162" s="161"/>
      <c r="B162" s="17">
        <v>174</v>
      </c>
      <c r="C162" s="38" t="s">
        <v>123</v>
      </c>
      <c r="D162" s="17" t="s">
        <v>124</v>
      </c>
      <c r="F162" s="17">
        <v>897</v>
      </c>
      <c r="G162" s="17">
        <v>1</v>
      </c>
      <c r="H162" s="17">
        <v>130</v>
      </c>
      <c r="I162" s="17">
        <v>2</v>
      </c>
      <c r="J162" s="17">
        <v>5000</v>
      </c>
      <c r="K162" s="17">
        <v>65</v>
      </c>
      <c r="L162" s="17">
        <v>1</v>
      </c>
      <c r="M162" s="17">
        <f>(151.5+150.5+181+178.5)-(141.5+140.5+159+155.5)</f>
        <v>65</v>
      </c>
      <c r="R162" s="17">
        <f t="shared" si="148"/>
        <v>0.31687513150317964</v>
      </c>
      <c r="S162" s="17">
        <f t="shared" si="149"/>
        <v>1132.0590412330735</v>
      </c>
      <c r="T162" s="17">
        <f t="shared" si="150"/>
        <v>33.578022409455578</v>
      </c>
      <c r="U162" s="91">
        <f t="shared" si="144"/>
        <v>0.8915866922584772</v>
      </c>
      <c r="V162" s="91">
        <f t="shared" si="145"/>
        <v>1</v>
      </c>
      <c r="W162" s="91">
        <f t="shared" si="146"/>
        <v>0.8347457627118644</v>
      </c>
      <c r="X162" s="17">
        <v>1640.5</v>
      </c>
      <c r="Y162" s="17">
        <v>1324</v>
      </c>
      <c r="Z162" s="93">
        <f t="shared" si="147"/>
        <v>0.1929289850655288</v>
      </c>
      <c r="AA162" s="16"/>
      <c r="AB162" s="17">
        <v>1.3555999999999999</v>
      </c>
      <c r="AC162" s="17">
        <v>0</v>
      </c>
      <c r="AD162" s="21">
        <v>1.95E-2</v>
      </c>
      <c r="AE162" s="16">
        <f t="shared" si="151"/>
        <v>1.3555999999999999</v>
      </c>
      <c r="AF162" s="17" t="str">
        <f t="shared" si="152"/>
        <v>-</v>
      </c>
      <c r="AG162" s="21">
        <f t="shared" si="153"/>
        <v>1.95E-2</v>
      </c>
      <c r="AH162" s="16"/>
      <c r="AI162" s="17">
        <v>12.504</v>
      </c>
      <c r="AJ162" s="17">
        <v>3.5000000000000001E-3</v>
      </c>
      <c r="AK162" s="21">
        <v>0.11799999999999999</v>
      </c>
      <c r="AL162" s="16">
        <f t="shared" si="154"/>
        <v>12.504</v>
      </c>
      <c r="AM162" s="17">
        <f t="shared" si="155"/>
        <v>3.5000000000000001E-3</v>
      </c>
      <c r="AN162" s="21">
        <f t="shared" si="156"/>
        <v>0.11799999999999999</v>
      </c>
    </row>
    <row r="163" spans="1:40" s="17" customFormat="1" ht="15" thickBot="1" x14ac:dyDescent="0.4">
      <c r="A163" s="161"/>
      <c r="B163" s="17">
        <v>175</v>
      </c>
      <c r="C163" s="38" t="s">
        <v>125</v>
      </c>
      <c r="D163" s="17" t="s">
        <v>124</v>
      </c>
      <c r="F163" s="17">
        <v>897</v>
      </c>
      <c r="G163" s="17">
        <v>2</v>
      </c>
      <c r="H163" s="17">
        <v>130</v>
      </c>
      <c r="I163" s="17">
        <v>1</v>
      </c>
      <c r="J163" s="17">
        <v>5000</v>
      </c>
      <c r="K163" s="17">
        <v>65</v>
      </c>
      <c r="L163" s="17">
        <v>1</v>
      </c>
      <c r="M163" s="17">
        <f>(141.5+140.5+159+155.5+164.5+174)-(132.5+129.5+150+146+146+156)</f>
        <v>75</v>
      </c>
      <c r="R163" s="17">
        <f t="shared" si="148"/>
        <v>0.36786756296862649</v>
      </c>
      <c r="S163" s="17">
        <f t="shared" si="149"/>
        <v>1314.2331449599158</v>
      </c>
      <c r="T163" s="17">
        <f t="shared" si="150"/>
        <v>38.981491587794125</v>
      </c>
      <c r="U163" s="91">
        <f t="shared" si="144"/>
        <v>0.89216250799744079</v>
      </c>
      <c r="V163" s="91">
        <f t="shared" si="145"/>
        <v>1</v>
      </c>
      <c r="W163" s="91">
        <f t="shared" si="146"/>
        <v>0.8347457627118644</v>
      </c>
      <c r="X163" s="17">
        <v>1630.5</v>
      </c>
      <c r="Y163" s="17">
        <v>1323</v>
      </c>
      <c r="Z163" s="93">
        <f t="shared" si="147"/>
        <v>0.18859245630174792</v>
      </c>
      <c r="AA163" s="16"/>
      <c r="AB163" s="17">
        <v>1.3484</v>
      </c>
      <c r="AC163" s="17">
        <v>0</v>
      </c>
      <c r="AD163" s="21">
        <v>1.95E-2</v>
      </c>
      <c r="AE163" s="16">
        <f t="shared" si="151"/>
        <v>1.3484</v>
      </c>
      <c r="AF163" s="17" t="str">
        <f t="shared" si="152"/>
        <v>-</v>
      </c>
      <c r="AG163" s="21">
        <f t="shared" si="153"/>
        <v>1.95E-2</v>
      </c>
      <c r="AH163" s="16"/>
      <c r="AI163" s="155">
        <v>12.504</v>
      </c>
      <c r="AJ163" s="155">
        <v>3.5000000000000001E-3</v>
      </c>
      <c r="AK163" s="160">
        <v>0.11799999999999999</v>
      </c>
      <c r="AL163" s="16">
        <f t="shared" si="154"/>
        <v>12.504</v>
      </c>
      <c r="AM163" s="17">
        <f t="shared" si="155"/>
        <v>3.5000000000000001E-3</v>
      </c>
      <c r="AN163" s="21">
        <f t="shared" si="156"/>
        <v>0.11799999999999999</v>
      </c>
    </row>
    <row r="164" spans="1:40" s="138" customFormat="1" ht="15.5" x14ac:dyDescent="0.35">
      <c r="A164" s="135"/>
      <c r="B164" s="136">
        <v>177</v>
      </c>
      <c r="C164" s="137">
        <v>43397</v>
      </c>
      <c r="D164" s="136" t="s">
        <v>56</v>
      </c>
      <c r="E164" s="136">
        <v>1</v>
      </c>
      <c r="F164" s="136">
        <v>472</v>
      </c>
      <c r="G164" s="136">
        <v>1</v>
      </c>
      <c r="H164" s="136">
        <v>130</v>
      </c>
      <c r="I164" s="136">
        <v>1</v>
      </c>
      <c r="J164" s="136">
        <v>5000</v>
      </c>
      <c r="K164" s="136">
        <v>65</v>
      </c>
      <c r="L164" s="136">
        <v>1</v>
      </c>
      <c r="M164" s="136">
        <f>(159.5+169.5+161.5+160.5)-(134+143+159.5+158)</f>
        <v>56.5</v>
      </c>
      <c r="N164" s="136"/>
      <c r="O164" s="136"/>
      <c r="P164" s="136"/>
      <c r="Q164" s="136"/>
      <c r="R164" s="138">
        <f t="shared" si="148"/>
        <v>9.6138139446244306</v>
      </c>
      <c r="S164" s="138">
        <f t="shared" si="149"/>
        <v>0.38572650802679792</v>
      </c>
      <c r="T164" s="138">
        <f t="shared" si="150"/>
        <v>114.12527521360616</v>
      </c>
      <c r="U164" s="139">
        <f t="shared" si="144"/>
        <v>0.8706521739130435</v>
      </c>
      <c r="V164" s="139">
        <f t="shared" si="145"/>
        <v>0.93270824247710415</v>
      </c>
      <c r="W164" s="139">
        <f t="shared" si="146"/>
        <v>0.62580645161290327</v>
      </c>
      <c r="X164" s="136">
        <v>1597</v>
      </c>
      <c r="Y164" s="136">
        <v>1325.5</v>
      </c>
      <c r="Z164" s="140">
        <f t="shared" si="147"/>
        <v>0.17000626174076394</v>
      </c>
      <c r="AA164" s="141"/>
      <c r="AB164" s="138">
        <v>4.7600000000000003E-2</v>
      </c>
      <c r="AC164" s="138">
        <v>0.61719999999999997</v>
      </c>
      <c r="AD164" s="142">
        <v>1.1599999999999999E-2</v>
      </c>
      <c r="AE164" s="143">
        <f t="shared" si="151"/>
        <v>4.7600000000000003E-2</v>
      </c>
      <c r="AF164" s="138">
        <f t="shared" si="152"/>
        <v>0.61719999999999997</v>
      </c>
      <c r="AG164" s="142">
        <f t="shared" si="153"/>
        <v>1.1599999999999999E-2</v>
      </c>
      <c r="AH164" s="141"/>
      <c r="AI164" s="136">
        <v>0.36799999999999999</v>
      </c>
      <c r="AJ164" s="136">
        <v>9.1720000000000006</v>
      </c>
      <c r="AK164" s="138">
        <v>3.1E-2</v>
      </c>
      <c r="AL164" s="138">
        <f t="shared" si="154"/>
        <v>0.36799999999999999</v>
      </c>
      <c r="AM164" s="138">
        <f t="shared" si="155"/>
        <v>9.1720000000000006</v>
      </c>
      <c r="AN164" s="142">
        <f t="shared" si="156"/>
        <v>3.1E-2</v>
      </c>
    </row>
    <row r="165" spans="1:40" s="11" customFormat="1" ht="15.5" x14ac:dyDescent="0.35">
      <c r="A165" s="144"/>
      <c r="B165" s="13">
        <v>178</v>
      </c>
      <c r="C165" s="48">
        <v>43398</v>
      </c>
      <c r="D165" s="13" t="s">
        <v>56</v>
      </c>
      <c r="E165" s="13">
        <v>1</v>
      </c>
      <c r="F165" s="13">
        <v>472</v>
      </c>
      <c r="G165" s="13">
        <v>2</v>
      </c>
      <c r="H165" s="13">
        <v>140</v>
      </c>
      <c r="I165" s="13">
        <v>2</v>
      </c>
      <c r="J165" s="13">
        <v>5000</v>
      </c>
      <c r="K165" s="13">
        <v>65</v>
      </c>
      <c r="L165" s="13">
        <v>1</v>
      </c>
      <c r="M165" s="13">
        <f>(165+163+159.5+158+177+166.5)-(166.5+156.5+148+150+155.5+162.5)</f>
        <v>50</v>
      </c>
      <c r="N165" s="13"/>
      <c r="O165" s="13"/>
      <c r="P165" s="13"/>
      <c r="Q165" s="13"/>
      <c r="R165" s="11">
        <f t="shared" si="148"/>
        <v>8.5131306527187522</v>
      </c>
      <c r="S165" s="11">
        <f t="shared" si="149"/>
        <v>0.34156477106416272</v>
      </c>
      <c r="T165" s="11">
        <f t="shared" si="150"/>
        <v>101.05909936130649</v>
      </c>
      <c r="U165" s="55">
        <f t="shared" si="144"/>
        <v>0.84565217391304348</v>
      </c>
      <c r="V165" s="55">
        <f t="shared" si="145"/>
        <v>0.93004797208896639</v>
      </c>
      <c r="W165" s="55">
        <f t="shared" si="146"/>
        <v>0.53548387096774197</v>
      </c>
      <c r="X165" s="13">
        <v>1596</v>
      </c>
      <c r="Y165" s="13">
        <v>1335</v>
      </c>
      <c r="Z165" s="87">
        <f t="shared" si="147"/>
        <v>0.1635338345864662</v>
      </c>
      <c r="AA165" s="12"/>
      <c r="AB165" s="11">
        <v>5.6800000000000003E-2</v>
      </c>
      <c r="AC165" s="11">
        <v>0.64159999999999995</v>
      </c>
      <c r="AD165" s="88">
        <v>1.44E-2</v>
      </c>
      <c r="AE165" s="10">
        <f t="shared" si="151"/>
        <v>5.6800000000000003E-2</v>
      </c>
      <c r="AF165" s="11">
        <f t="shared" si="152"/>
        <v>0.64159999999999995</v>
      </c>
      <c r="AG165" s="88">
        <f t="shared" si="153"/>
        <v>1.44E-2</v>
      </c>
      <c r="AH165" s="12"/>
      <c r="AI165" s="13">
        <v>0.36799999999999999</v>
      </c>
      <c r="AJ165" s="13">
        <v>9.1720000000000006</v>
      </c>
      <c r="AK165" s="11">
        <v>3.1E-2</v>
      </c>
      <c r="AL165" s="11">
        <f t="shared" si="154"/>
        <v>0.36799999999999999</v>
      </c>
      <c r="AM165" s="11">
        <f t="shared" si="155"/>
        <v>9.1720000000000006</v>
      </c>
      <c r="AN165" s="88">
        <f t="shared" si="156"/>
        <v>3.1E-2</v>
      </c>
    </row>
    <row r="166" spans="1:40" s="11" customFormat="1" ht="15.5" x14ac:dyDescent="0.35">
      <c r="A166" s="144"/>
      <c r="B166" s="13">
        <v>179</v>
      </c>
      <c r="C166" s="49" t="s">
        <v>126</v>
      </c>
      <c r="D166" s="13" t="s">
        <v>56</v>
      </c>
      <c r="E166" s="13">
        <v>1</v>
      </c>
      <c r="F166" s="13">
        <v>472</v>
      </c>
      <c r="G166" s="13">
        <v>3</v>
      </c>
      <c r="H166" s="13">
        <v>150</v>
      </c>
      <c r="I166" s="13">
        <v>2</v>
      </c>
      <c r="J166" s="13">
        <v>5000</v>
      </c>
      <c r="K166" s="13">
        <v>65</v>
      </c>
      <c r="L166" s="13">
        <v>1</v>
      </c>
      <c r="M166" s="13">
        <f>(143+145+169.5+171.5)-(124+124.5+161+164.5)</f>
        <v>55</v>
      </c>
      <c r="N166" s="13"/>
      <c r="O166" s="13"/>
      <c r="P166" s="13"/>
      <c r="Q166" s="13"/>
      <c r="R166" s="11">
        <f t="shared" si="148"/>
        <v>8.9763676720198458</v>
      </c>
      <c r="S166" s="11">
        <f t="shared" si="149"/>
        <v>0.36015081806621269</v>
      </c>
      <c r="T166" s="11">
        <f t="shared" si="150"/>
        <v>106.55817107430011</v>
      </c>
      <c r="U166" s="55">
        <f t="shared" si="144"/>
        <v>0.83125000000000004</v>
      </c>
      <c r="V166" s="55">
        <f t="shared" si="145"/>
        <v>0.91000872219799389</v>
      </c>
      <c r="W166" s="55">
        <f t="shared" si="146"/>
        <v>0.49677419354838709</v>
      </c>
      <c r="X166" s="13">
        <v>1665</v>
      </c>
      <c r="Y166" s="13">
        <v>1409.5</v>
      </c>
      <c r="Z166" s="87">
        <f t="shared" si="147"/>
        <v>0.1534534534534534</v>
      </c>
      <c r="AA166" s="12"/>
      <c r="AB166" s="11">
        <v>6.2100000000000002E-2</v>
      </c>
      <c r="AC166" s="11">
        <v>0.82540000000000002</v>
      </c>
      <c r="AD166" s="88">
        <v>1.5599999999999999E-2</v>
      </c>
      <c r="AE166" s="10">
        <f t="shared" si="151"/>
        <v>6.2100000000000002E-2</v>
      </c>
      <c r="AF166" s="11">
        <f t="shared" si="152"/>
        <v>0.82540000000000002</v>
      </c>
      <c r="AG166" s="88">
        <f t="shared" si="153"/>
        <v>1.5599999999999999E-2</v>
      </c>
      <c r="AH166" s="12"/>
      <c r="AI166" s="13">
        <v>0.36799999999999999</v>
      </c>
      <c r="AJ166" s="13">
        <v>9.1720000000000006</v>
      </c>
      <c r="AK166" s="11">
        <v>3.1E-2</v>
      </c>
      <c r="AL166" s="11">
        <f t="shared" si="154"/>
        <v>0.36799999999999999</v>
      </c>
      <c r="AM166" s="11">
        <f t="shared" si="155"/>
        <v>9.1720000000000006</v>
      </c>
      <c r="AN166" s="88">
        <f t="shared" si="156"/>
        <v>3.1E-2</v>
      </c>
    </row>
    <row r="167" spans="1:40" s="11" customFormat="1" ht="15.5" x14ac:dyDescent="0.35">
      <c r="A167" s="144"/>
      <c r="B167" s="13">
        <v>180</v>
      </c>
      <c r="C167" s="48">
        <v>43399</v>
      </c>
      <c r="D167" s="13" t="s">
        <v>127</v>
      </c>
      <c r="E167" s="13">
        <v>1</v>
      </c>
      <c r="F167" s="13">
        <v>472</v>
      </c>
      <c r="G167" s="13">
        <v>4</v>
      </c>
      <c r="H167" s="13">
        <v>120</v>
      </c>
      <c r="I167" s="13">
        <v>2</v>
      </c>
      <c r="J167" s="13">
        <v>5000</v>
      </c>
      <c r="K167" s="13">
        <v>65</v>
      </c>
      <c r="L167" s="13">
        <v>1</v>
      </c>
      <c r="M167" s="13">
        <f>(170+170+160+164)-(165+164.5+137+142.5)</f>
        <v>55</v>
      </c>
      <c r="N167" s="13"/>
      <c r="O167" s="13"/>
      <c r="P167" s="13"/>
      <c r="Q167" s="13"/>
      <c r="R167" s="11">
        <f t="shared" si="148"/>
        <v>9.104874915572978</v>
      </c>
      <c r="S167" s="11">
        <f t="shared" si="149"/>
        <v>0.36530679992704485</v>
      </c>
      <c r="T167" s="11">
        <f t="shared" si="150"/>
        <v>108.08367641712438</v>
      </c>
      <c r="U167" s="55">
        <f t="shared" si="144"/>
        <v>0.89021739130434785</v>
      </c>
      <c r="V167" s="55">
        <f t="shared" si="145"/>
        <v>0.9450610553859573</v>
      </c>
      <c r="W167" s="55">
        <f t="shared" si="146"/>
        <v>0.59354838709677415</v>
      </c>
      <c r="X167" s="13">
        <v>1641.5</v>
      </c>
      <c r="Y167" s="13">
        <v>1378</v>
      </c>
      <c r="Z167" s="87">
        <f t="shared" si="147"/>
        <v>0.16052391105696007</v>
      </c>
      <c r="AA167" s="12"/>
      <c r="AB167" s="11">
        <v>4.0399999999999998E-2</v>
      </c>
      <c r="AC167" s="11">
        <v>0.50390000000000001</v>
      </c>
      <c r="AD167" s="88">
        <v>1.26E-2</v>
      </c>
      <c r="AE167" s="10">
        <f t="shared" si="151"/>
        <v>4.0399999999999998E-2</v>
      </c>
      <c r="AF167" s="11">
        <f t="shared" si="152"/>
        <v>0.50390000000000001</v>
      </c>
      <c r="AG167" s="88">
        <f t="shared" si="153"/>
        <v>1.26E-2</v>
      </c>
      <c r="AH167" s="12"/>
      <c r="AI167" s="13">
        <v>0.36799999999999999</v>
      </c>
      <c r="AJ167" s="13">
        <v>9.1720000000000006</v>
      </c>
      <c r="AK167" s="11">
        <v>3.1E-2</v>
      </c>
      <c r="AL167" s="11">
        <f t="shared" si="154"/>
        <v>0.36799999999999999</v>
      </c>
      <c r="AM167" s="11">
        <f t="shared" si="155"/>
        <v>9.1720000000000006</v>
      </c>
      <c r="AN167" s="88">
        <f t="shared" si="156"/>
        <v>3.1E-2</v>
      </c>
    </row>
    <row r="168" spans="1:40" s="148" customFormat="1" ht="16" thickBot="1" x14ac:dyDescent="0.4">
      <c r="A168" s="145"/>
      <c r="B168" s="146">
        <v>181</v>
      </c>
      <c r="C168" s="147" t="s">
        <v>126</v>
      </c>
      <c r="D168" s="146" t="s">
        <v>56</v>
      </c>
      <c r="E168" s="146">
        <v>1</v>
      </c>
      <c r="F168" s="146">
        <v>472</v>
      </c>
      <c r="G168" s="146">
        <v>5</v>
      </c>
      <c r="H168" s="146">
        <v>150</v>
      </c>
      <c r="I168" s="146">
        <v>1</v>
      </c>
      <c r="J168" s="146">
        <v>5000</v>
      </c>
      <c r="K168" s="146">
        <v>65</v>
      </c>
      <c r="L168" s="146">
        <v>1</v>
      </c>
      <c r="M168" s="146">
        <f>(164+163+163.5+165)-(143.5+141+155.5+155.5)</f>
        <v>60</v>
      </c>
      <c r="N168" s="146"/>
      <c r="O168" s="146"/>
      <c r="P168" s="146"/>
      <c r="Q168" s="146"/>
      <c r="R168" s="148">
        <f t="shared" si="148"/>
        <v>10.715969652373944</v>
      </c>
      <c r="S168" s="148">
        <f t="shared" si="149"/>
        <v>0.42994732142102171</v>
      </c>
      <c r="T168" s="148">
        <f t="shared" si="150"/>
        <v>127.2089300668907</v>
      </c>
      <c r="U168" s="149">
        <f t="shared" si="144"/>
        <v>0.79184782608695647</v>
      </c>
      <c r="V168" s="149">
        <f t="shared" si="145"/>
        <v>0.89007849978194498</v>
      </c>
      <c r="W168" s="149">
        <f t="shared" si="146"/>
        <v>0.49354838709677423</v>
      </c>
      <c r="X168" s="146">
        <v>1521.5</v>
      </c>
      <c r="Y168" s="146">
        <v>1317</v>
      </c>
      <c r="Z168" s="150">
        <f t="shared" si="147"/>
        <v>0.13440683535984221</v>
      </c>
      <c r="AA168" s="151"/>
      <c r="AB168" s="148">
        <v>7.6600000000000001E-2</v>
      </c>
      <c r="AC168" s="148">
        <v>1.0082</v>
      </c>
      <c r="AD168" s="152">
        <v>1.5699999999999999E-2</v>
      </c>
      <c r="AE168" s="153">
        <f t="shared" si="151"/>
        <v>7.6600000000000001E-2</v>
      </c>
      <c r="AF168" s="148">
        <f t="shared" si="152"/>
        <v>1.0082</v>
      </c>
      <c r="AG168" s="152">
        <f t="shared" si="153"/>
        <v>1.5699999999999999E-2</v>
      </c>
      <c r="AH168" s="151"/>
      <c r="AI168" s="146">
        <v>0.36799999999999999</v>
      </c>
      <c r="AJ168" s="146">
        <v>9.1720000000000006</v>
      </c>
      <c r="AK168" s="148">
        <v>3.1E-2</v>
      </c>
      <c r="AL168" s="148">
        <f t="shared" si="154"/>
        <v>0.36799999999999999</v>
      </c>
      <c r="AM168" s="148">
        <f t="shared" si="155"/>
        <v>9.1720000000000006</v>
      </c>
      <c r="AN168" s="152">
        <f t="shared" si="156"/>
        <v>3.1E-2</v>
      </c>
    </row>
    <row r="169" spans="1:40" s="15" customFormat="1" x14ac:dyDescent="0.35">
      <c r="B169" s="15">
        <v>182</v>
      </c>
      <c r="C169" s="50">
        <v>43402</v>
      </c>
      <c r="D169" s="15" t="s">
        <v>9</v>
      </c>
      <c r="E169" s="15">
        <v>1</v>
      </c>
      <c r="F169" s="15">
        <v>900</v>
      </c>
      <c r="G169" s="15">
        <v>1</v>
      </c>
      <c r="H169" s="15">
        <v>110</v>
      </c>
      <c r="I169" s="15">
        <v>1</v>
      </c>
      <c r="J169" s="15">
        <v>5000</v>
      </c>
      <c r="K169" s="15">
        <v>65</v>
      </c>
      <c r="L169" s="15">
        <v>1</v>
      </c>
      <c r="M169" s="15">
        <v>75</v>
      </c>
      <c r="Q169" s="15" t="s">
        <v>134</v>
      </c>
      <c r="R169" s="15">
        <f t="shared" si="148"/>
        <v>0.65231180608700845</v>
      </c>
      <c r="S169" s="15">
        <f t="shared" si="149"/>
        <v>0.39773475737225239</v>
      </c>
      <c r="T169" s="15">
        <f t="shared" si="150"/>
        <v>1092.0368671646354</v>
      </c>
      <c r="U169" s="97">
        <f t="shared" si="144"/>
        <v>0.85137080716801961</v>
      </c>
      <c r="V169" s="97">
        <f t="shared" si="145"/>
        <v>0.94345349271572665</v>
      </c>
      <c r="W169" s="97">
        <f t="shared" si="146"/>
        <v>-1.2307692307692306</v>
      </c>
      <c r="X169" s="15">
        <v>1761</v>
      </c>
      <c r="Y169" s="15">
        <v>1372.5</v>
      </c>
      <c r="Z169" s="100">
        <f t="shared" si="147"/>
        <v>0.22061328790459966</v>
      </c>
      <c r="AA169" s="14"/>
      <c r="AB169" s="15">
        <v>0.97040000000000004</v>
      </c>
      <c r="AC169" s="15">
        <v>0.60550000000000004</v>
      </c>
      <c r="AD169" s="101">
        <v>8.6999999999999994E-3</v>
      </c>
      <c r="AE169" s="14">
        <f t="shared" si="151"/>
        <v>0.97040000000000004</v>
      </c>
      <c r="AF169" s="15">
        <f t="shared" si="152"/>
        <v>0.60550000000000004</v>
      </c>
      <c r="AG169" s="101">
        <f t="shared" si="153"/>
        <v>8.6999999999999994E-3</v>
      </c>
      <c r="AH169" s="14"/>
      <c r="AI169" s="15">
        <v>6.5289999999999999</v>
      </c>
      <c r="AJ169" s="15">
        <v>10.708</v>
      </c>
      <c r="AK169" s="101">
        <v>3.8999999999999998E-3</v>
      </c>
      <c r="AL169" s="14">
        <f t="shared" si="154"/>
        <v>6.5289999999999999</v>
      </c>
      <c r="AM169" s="15">
        <f t="shared" si="155"/>
        <v>10.708</v>
      </c>
      <c r="AN169" s="101">
        <f t="shared" si="156"/>
        <v>3.8999999999999998E-3</v>
      </c>
    </row>
    <row r="170" spans="1:40" s="76" customFormat="1" ht="15" thickBot="1" x14ac:dyDescent="0.4">
      <c r="B170" s="76">
        <v>183</v>
      </c>
      <c r="C170" s="77" t="s">
        <v>128</v>
      </c>
      <c r="D170" s="76" t="s">
        <v>9</v>
      </c>
      <c r="E170" s="76">
        <v>1</v>
      </c>
      <c r="F170" s="76">
        <v>900</v>
      </c>
      <c r="G170" s="76">
        <v>7</v>
      </c>
      <c r="H170" s="76">
        <v>250</v>
      </c>
      <c r="I170" s="76">
        <v>1</v>
      </c>
      <c r="J170" s="76">
        <v>5000</v>
      </c>
      <c r="K170" s="76">
        <v>65</v>
      </c>
      <c r="L170" s="76">
        <v>1</v>
      </c>
      <c r="M170" s="76">
        <v>83</v>
      </c>
      <c r="Q170" s="76" t="s">
        <v>130</v>
      </c>
      <c r="R170" s="76">
        <f t="shared" si="148"/>
        <v>0.71539186278818545</v>
      </c>
      <c r="S170" s="76">
        <f t="shared" si="149"/>
        <v>0.43619662608741711</v>
      </c>
      <c r="T170" s="76">
        <f t="shared" si="150"/>
        <v>1197.6393518318109</v>
      </c>
      <c r="U170" s="105">
        <f t="shared" si="144"/>
        <v>0.92418440802573132</v>
      </c>
      <c r="V170" s="105">
        <f t="shared" si="145"/>
        <v>0.96370003735524845</v>
      </c>
      <c r="W170" s="105">
        <f t="shared" si="146"/>
        <v>0.10256410256410251</v>
      </c>
      <c r="X170" s="76">
        <v>1777</v>
      </c>
      <c r="Y170" s="76">
        <v>1394.5</v>
      </c>
      <c r="Z170" s="102">
        <f t="shared" si="147"/>
        <v>0.21525042205965106</v>
      </c>
      <c r="AA170" s="78"/>
      <c r="AB170" s="134">
        <v>0.495</v>
      </c>
      <c r="AC170" s="76">
        <v>0.38869999999999999</v>
      </c>
      <c r="AD170" s="103">
        <v>3.5000000000000001E-3</v>
      </c>
      <c r="AE170" s="78">
        <f t="shared" si="151"/>
        <v>0.495</v>
      </c>
      <c r="AF170" s="76">
        <f t="shared" si="152"/>
        <v>0.38869999999999999</v>
      </c>
      <c r="AG170" s="103">
        <f t="shared" si="153"/>
        <v>3.5000000000000001E-3</v>
      </c>
      <c r="AH170" s="78"/>
      <c r="AI170" s="76">
        <v>6.5289999999999999</v>
      </c>
      <c r="AJ170" s="76">
        <v>10.708</v>
      </c>
      <c r="AK170" s="103">
        <v>3.8999999999999998E-3</v>
      </c>
      <c r="AL170" s="78">
        <f t="shared" si="154"/>
        <v>6.5289999999999999</v>
      </c>
      <c r="AM170" s="76">
        <f t="shared" si="155"/>
        <v>10.708</v>
      </c>
      <c r="AN170" s="103">
        <f t="shared" si="156"/>
        <v>3.8999999999999998E-3</v>
      </c>
    </row>
    <row r="171" spans="1:40" s="17" customFormat="1" ht="15" thickTop="1" x14ac:dyDescent="0.35">
      <c r="A171" s="16"/>
      <c r="B171" s="17">
        <v>184</v>
      </c>
      <c r="C171" s="38" t="s">
        <v>129</v>
      </c>
      <c r="D171" s="17" t="s">
        <v>90</v>
      </c>
      <c r="F171" s="17">
        <v>854</v>
      </c>
      <c r="G171" s="17">
        <v>1</v>
      </c>
      <c r="H171" s="17">
        <v>185</v>
      </c>
      <c r="I171" s="17">
        <v>1</v>
      </c>
      <c r="J171" s="17">
        <v>4300</v>
      </c>
      <c r="K171" s="17">
        <v>65</v>
      </c>
      <c r="L171" s="17">
        <v>1</v>
      </c>
      <c r="M171" s="17">
        <f>(152+169+149+169.5+156+169.5+184+167.5)-(134+169+131+147.5+152+165+179.5+163.5)</f>
        <v>75</v>
      </c>
      <c r="Q171" s="17" t="s">
        <v>130</v>
      </c>
      <c r="R171" s="17">
        <f t="shared" si="148"/>
        <v>0.48139986459184614</v>
      </c>
      <c r="S171" s="17">
        <f t="shared" si="149"/>
        <v>138.75013875013877</v>
      </c>
      <c r="T171" s="17">
        <f t="shared" si="150"/>
        <v>12.212726149156467</v>
      </c>
      <c r="U171" s="91">
        <f t="shared" si="144"/>
        <v>0.79319583654587511</v>
      </c>
      <c r="V171" s="91">
        <f t="shared" si="145"/>
        <v>0.78333333333333333</v>
      </c>
      <c r="W171" s="91">
        <f t="shared" si="146"/>
        <v>0.72762836185819069</v>
      </c>
      <c r="X171" s="17">
        <v>1501.5</v>
      </c>
      <c r="Y171" s="17">
        <v>1335</v>
      </c>
      <c r="Z171" s="93">
        <f t="shared" si="147"/>
        <v>0.11088911088911091</v>
      </c>
      <c r="AA171" s="16"/>
      <c r="AB171" s="17">
        <v>2.1457999999999999</v>
      </c>
      <c r="AC171" s="17">
        <v>7.7999999999999996E-3</v>
      </c>
      <c r="AD171" s="21">
        <v>0.1114</v>
      </c>
      <c r="AE171" s="16">
        <f t="shared" si="151"/>
        <v>2.1457999999999999</v>
      </c>
      <c r="AF171" s="17">
        <f t="shared" si="152"/>
        <v>7.7999999999999996E-3</v>
      </c>
      <c r="AG171" s="21">
        <f t="shared" si="153"/>
        <v>0.1114</v>
      </c>
      <c r="AH171" s="16"/>
      <c r="AI171" s="17">
        <v>10.375999999999999</v>
      </c>
      <c r="AJ171" s="17">
        <v>3.5999999999999997E-2</v>
      </c>
      <c r="AK171" s="17">
        <v>0.40899999999999997</v>
      </c>
      <c r="AL171" s="17">
        <f t="shared" si="154"/>
        <v>10.375999999999999</v>
      </c>
      <c r="AM171" s="17">
        <f t="shared" si="155"/>
        <v>3.5999999999999997E-2</v>
      </c>
      <c r="AN171" s="21">
        <f t="shared" si="156"/>
        <v>0.40899999999999997</v>
      </c>
    </row>
    <row r="172" spans="1:40" s="17" customFormat="1" x14ac:dyDescent="0.35">
      <c r="A172" s="16"/>
      <c r="B172" s="17">
        <v>185</v>
      </c>
      <c r="C172" s="38" t="s">
        <v>129</v>
      </c>
      <c r="D172" s="17" t="s">
        <v>90</v>
      </c>
      <c r="F172" s="17">
        <v>854</v>
      </c>
      <c r="G172" s="17">
        <v>4</v>
      </c>
      <c r="H172" s="17">
        <v>210</v>
      </c>
      <c r="I172" s="17">
        <v>2</v>
      </c>
      <c r="J172" s="17">
        <v>4300</v>
      </c>
      <c r="K172" s="17">
        <v>65</v>
      </c>
      <c r="L172" s="17">
        <v>1</v>
      </c>
      <c r="M172" s="17">
        <f>(124+136.5+138+157+155.5+179+168.5+171)-(119+134+135+154+141.5+160+151+151.5)</f>
        <v>83.5</v>
      </c>
      <c r="Q172" s="17" t="s">
        <v>130</v>
      </c>
      <c r="R172" s="17">
        <f t="shared" si="148"/>
        <v>0.53524556810259494</v>
      </c>
      <c r="S172" s="17">
        <f t="shared" si="149"/>
        <v>154.26966707312567</v>
      </c>
      <c r="T172" s="17">
        <f t="shared" si="150"/>
        <v>13.578748202035513</v>
      </c>
      <c r="U172" s="91">
        <f t="shared" si="144"/>
        <v>0.80063608326908253</v>
      </c>
      <c r="V172" s="91">
        <f t="shared" si="145"/>
        <v>1</v>
      </c>
      <c r="W172" s="91">
        <f t="shared" si="146"/>
        <v>0.72591687041564779</v>
      </c>
      <c r="X172" s="17">
        <v>1503.5</v>
      </c>
      <c r="Y172" s="17">
        <v>1308</v>
      </c>
      <c r="Z172" s="93">
        <f t="shared" si="147"/>
        <v>0.13002993016295306</v>
      </c>
      <c r="AA172" s="16"/>
      <c r="AB172" s="17">
        <v>2.0686</v>
      </c>
      <c r="AC172" s="17">
        <v>0</v>
      </c>
      <c r="AD172" s="21">
        <v>0.11210000000000001</v>
      </c>
      <c r="AE172" s="16">
        <f t="shared" si="151"/>
        <v>2.0686</v>
      </c>
      <c r="AF172" s="17" t="str">
        <f t="shared" si="152"/>
        <v>-</v>
      </c>
      <c r="AG172" s="21">
        <f t="shared" si="153"/>
        <v>0.11210000000000001</v>
      </c>
      <c r="AH172" s="16"/>
      <c r="AI172" s="17">
        <v>10.375999999999999</v>
      </c>
      <c r="AJ172" s="17">
        <v>3.5999999999999997E-2</v>
      </c>
      <c r="AK172" s="17">
        <v>0.40899999999999997</v>
      </c>
      <c r="AL172" s="17">
        <f t="shared" si="154"/>
        <v>10.375999999999999</v>
      </c>
      <c r="AM172" s="17">
        <f t="shared" si="155"/>
        <v>3.5999999999999997E-2</v>
      </c>
      <c r="AN172" s="21">
        <f t="shared" si="156"/>
        <v>0.40899999999999997</v>
      </c>
    </row>
    <row r="173" spans="1:40" s="17" customFormat="1" x14ac:dyDescent="0.35">
      <c r="A173" s="16"/>
      <c r="B173" s="17">
        <v>187</v>
      </c>
      <c r="C173" s="38" t="s">
        <v>131</v>
      </c>
      <c r="D173" s="17" t="s">
        <v>90</v>
      </c>
      <c r="F173" s="17">
        <v>854</v>
      </c>
      <c r="G173" s="17">
        <v>7</v>
      </c>
      <c r="H173" s="17">
        <v>180</v>
      </c>
      <c r="I173" s="17">
        <v>1</v>
      </c>
      <c r="J173" s="17">
        <v>5000</v>
      </c>
      <c r="K173" s="17">
        <v>65</v>
      </c>
      <c r="L173" s="17">
        <v>1</v>
      </c>
      <c r="M173" s="17">
        <f>(171+164+172+127.5+150.5+162.5)-(154+146+155.5+123.5+134.5+144)</f>
        <v>90</v>
      </c>
      <c r="Q173" s="17" t="s">
        <v>130</v>
      </c>
      <c r="R173" s="17">
        <f t="shared" si="148"/>
        <v>0.62536862005882354</v>
      </c>
      <c r="S173" s="17">
        <f t="shared" si="149"/>
        <v>180.24513338139872</v>
      </c>
      <c r="T173" s="17">
        <f t="shared" si="150"/>
        <v>15.865097314744139</v>
      </c>
      <c r="U173" s="91">
        <f t="shared" si="144"/>
        <v>0.9164996144949884</v>
      </c>
      <c r="V173" s="91">
        <f t="shared" si="145"/>
        <v>1</v>
      </c>
      <c r="W173" s="91">
        <f t="shared" si="146"/>
        <v>0.87530562347188268</v>
      </c>
      <c r="X173" s="17">
        <v>1387</v>
      </c>
      <c r="Y173" s="17">
        <v>1157</v>
      </c>
      <c r="Z173" s="93">
        <f t="shared" si="147"/>
        <v>0.1658255227108868</v>
      </c>
      <c r="AA173" s="16"/>
      <c r="AB173" s="17">
        <v>0.86639999999999995</v>
      </c>
      <c r="AC173" s="17">
        <v>0</v>
      </c>
      <c r="AD173" s="131">
        <v>5.0999999999999997E-2</v>
      </c>
      <c r="AE173" s="16">
        <f t="shared" si="151"/>
        <v>0.86639999999999995</v>
      </c>
      <c r="AF173" s="17" t="str">
        <f t="shared" si="152"/>
        <v>-</v>
      </c>
      <c r="AG173" s="21">
        <f t="shared" si="153"/>
        <v>5.0999999999999997E-2</v>
      </c>
      <c r="AH173" s="16"/>
      <c r="AI173" s="17">
        <v>10.375999999999999</v>
      </c>
      <c r="AJ173" s="17">
        <v>3.5999999999999997E-2</v>
      </c>
      <c r="AK173" s="17">
        <v>0.40899999999999997</v>
      </c>
      <c r="AL173" s="17">
        <f t="shared" si="154"/>
        <v>10.375999999999999</v>
      </c>
      <c r="AM173" s="17">
        <f t="shared" si="155"/>
        <v>3.5999999999999997E-2</v>
      </c>
      <c r="AN173" s="21">
        <f t="shared" si="156"/>
        <v>0.40899999999999997</v>
      </c>
    </row>
    <row r="174" spans="1:40" s="15" customFormat="1" x14ac:dyDescent="0.35">
      <c r="B174" s="15">
        <v>189</v>
      </c>
      <c r="C174" s="47" t="s">
        <v>132</v>
      </c>
      <c r="D174" s="15" t="s">
        <v>9</v>
      </c>
      <c r="E174" s="15">
        <v>1</v>
      </c>
      <c r="F174" s="15">
        <v>911</v>
      </c>
      <c r="G174" s="15">
        <v>1</v>
      </c>
      <c r="H174" s="15">
        <v>130</v>
      </c>
      <c r="I174" s="15">
        <v>1</v>
      </c>
      <c r="J174" s="15">
        <v>5000</v>
      </c>
      <c r="K174" s="15">
        <v>65</v>
      </c>
      <c r="L174" s="15">
        <v>1</v>
      </c>
      <c r="M174" s="15">
        <f>(176+172.5+158.5+204)-(170+166.5+132.5+177)</f>
        <v>65</v>
      </c>
      <c r="Q174" s="15" t="s">
        <v>133</v>
      </c>
      <c r="R174" s="15">
        <f t="shared" si="148"/>
        <v>0.6846357211320715</v>
      </c>
      <c r="S174" s="15">
        <f t="shared" si="149"/>
        <v>0.43197003590003286</v>
      </c>
      <c r="T174" s="15">
        <f t="shared" si="150"/>
        <v>131.89935064935065</v>
      </c>
      <c r="U174" s="97">
        <f t="shared" si="144"/>
        <v>0.93918896999188961</v>
      </c>
      <c r="V174" s="97">
        <f t="shared" si="145"/>
        <v>0.97682939310203665</v>
      </c>
      <c r="W174" s="97">
        <f t="shared" si="146"/>
        <v>1</v>
      </c>
      <c r="X174" s="15">
        <v>1540</v>
      </c>
      <c r="Y174" s="15">
        <v>1221.5</v>
      </c>
      <c r="Z174" s="100">
        <f t="shared" si="147"/>
        <v>0.20681818181818179</v>
      </c>
      <c r="AA174" s="14"/>
      <c r="AB174" s="15">
        <v>0.37490000000000001</v>
      </c>
      <c r="AC174" s="15">
        <v>0.22639999999999999</v>
      </c>
      <c r="AD174" s="101">
        <v>0</v>
      </c>
      <c r="AE174" s="14">
        <f t="shared" si="151"/>
        <v>0.37490000000000001</v>
      </c>
      <c r="AF174" s="15">
        <f t="shared" si="152"/>
        <v>0.22639999999999999</v>
      </c>
      <c r="AG174" s="101" t="str">
        <f t="shared" si="153"/>
        <v>-</v>
      </c>
      <c r="AH174" s="14"/>
      <c r="AI174" s="15">
        <v>6.165</v>
      </c>
      <c r="AJ174" s="15">
        <v>9.7710000000000008</v>
      </c>
      <c r="AK174" s="101">
        <v>3.2000000000000001E-2</v>
      </c>
      <c r="AL174" s="14">
        <f t="shared" si="154"/>
        <v>6.165</v>
      </c>
      <c r="AM174" s="15">
        <f t="shared" si="155"/>
        <v>9.7710000000000008</v>
      </c>
      <c r="AN174" s="101">
        <f t="shared" si="156"/>
        <v>3.2000000000000001E-2</v>
      </c>
    </row>
    <row r="175" spans="1:40" s="15" customFormat="1" x14ac:dyDescent="0.35">
      <c r="B175" s="15">
        <v>190</v>
      </c>
      <c r="C175" s="47" t="s">
        <v>135</v>
      </c>
      <c r="D175" s="15" t="s">
        <v>9</v>
      </c>
      <c r="E175" s="15">
        <v>1</v>
      </c>
      <c r="F175" s="15">
        <v>911</v>
      </c>
      <c r="G175" s="15">
        <v>4</v>
      </c>
      <c r="H175" s="15">
        <v>105</v>
      </c>
      <c r="I175" s="15">
        <v>1</v>
      </c>
      <c r="J175" s="15">
        <v>5000</v>
      </c>
      <c r="K175" s="15">
        <v>65</v>
      </c>
      <c r="L175" s="15">
        <v>1</v>
      </c>
      <c r="M175" s="15">
        <f>(171.5+185)-(138.5+158)</f>
        <v>60</v>
      </c>
      <c r="R175" s="15">
        <f t="shared" si="148"/>
        <v>0.65692609499315557</v>
      </c>
      <c r="S175" s="15">
        <f t="shared" si="149"/>
        <v>0.41448668259469901</v>
      </c>
      <c r="T175" s="15">
        <f t="shared" si="150"/>
        <v>126.56091798852513</v>
      </c>
      <c r="U175" s="97">
        <f t="shared" si="144"/>
        <v>0.97135442011354423</v>
      </c>
      <c r="V175" s="97">
        <f t="shared" si="145"/>
        <v>0.98645993245317765</v>
      </c>
      <c r="W175" s="97">
        <f t="shared" si="146"/>
        <v>1</v>
      </c>
      <c r="X175" s="15">
        <v>1481.5</v>
      </c>
      <c r="Y175" s="15">
        <v>1170</v>
      </c>
      <c r="Z175" s="100">
        <f t="shared" si="147"/>
        <v>0.2102598717516031</v>
      </c>
      <c r="AA175" s="14"/>
      <c r="AB175" s="15">
        <v>0.17660000000000001</v>
      </c>
      <c r="AC175" s="15">
        <v>0.1323</v>
      </c>
      <c r="AD175" s="101">
        <v>0</v>
      </c>
      <c r="AE175" s="14">
        <f t="shared" si="151"/>
        <v>0.17660000000000001</v>
      </c>
      <c r="AF175" s="15">
        <f t="shared" si="152"/>
        <v>0.1323</v>
      </c>
      <c r="AG175" s="101" t="str">
        <f t="shared" si="153"/>
        <v>-</v>
      </c>
      <c r="AH175" s="14"/>
      <c r="AI175" s="15">
        <v>6.165</v>
      </c>
      <c r="AJ175" s="15">
        <v>9.7710000000000008</v>
      </c>
      <c r="AK175" s="101">
        <v>3.2000000000000001E-2</v>
      </c>
      <c r="AL175" s="14">
        <f t="shared" si="154"/>
        <v>6.165</v>
      </c>
      <c r="AM175" s="15">
        <f t="shared" si="155"/>
        <v>9.7710000000000008</v>
      </c>
      <c r="AN175" s="101">
        <f t="shared" si="156"/>
        <v>3.2000000000000001E-2</v>
      </c>
    </row>
    <row r="176" spans="1:40" s="15" customFormat="1" x14ac:dyDescent="0.35">
      <c r="B176" s="15">
        <v>191</v>
      </c>
      <c r="C176" s="47" t="s">
        <v>135</v>
      </c>
      <c r="D176" s="15" t="s">
        <v>9</v>
      </c>
      <c r="E176" s="15">
        <v>1</v>
      </c>
      <c r="F176" s="15">
        <v>911</v>
      </c>
      <c r="G176" s="15">
        <v>5</v>
      </c>
      <c r="H176" s="15">
        <v>130</v>
      </c>
      <c r="I176" s="15">
        <v>2</v>
      </c>
      <c r="J176" s="15">
        <v>5000</v>
      </c>
      <c r="K176" s="15">
        <v>65</v>
      </c>
      <c r="L176" s="15">
        <v>1</v>
      </c>
      <c r="M176" s="15">
        <f>(152.5+162)-(124.5+131)</f>
        <v>59</v>
      </c>
      <c r="R176" s="15">
        <f t="shared" si="148"/>
        <v>0.71901984190094215</v>
      </c>
      <c r="S176" s="15">
        <f t="shared" si="149"/>
        <v>0.45366465308763781</v>
      </c>
      <c r="T176" s="15">
        <f t="shared" si="150"/>
        <v>138.52366641622839</v>
      </c>
      <c r="U176" s="97">
        <f t="shared" si="144"/>
        <v>0.96160583941605837</v>
      </c>
      <c r="V176" s="97">
        <f t="shared" si="145"/>
        <v>0.97957220345921603</v>
      </c>
      <c r="W176" s="97">
        <f t="shared" si="146"/>
        <v>1</v>
      </c>
      <c r="X176" s="15">
        <v>1331</v>
      </c>
      <c r="Y176" s="15">
        <v>1048</v>
      </c>
      <c r="Z176" s="100">
        <f t="shared" si="147"/>
        <v>0.21262208865514653</v>
      </c>
      <c r="AA176" s="14"/>
      <c r="AB176" s="15">
        <v>0.23669999999999999</v>
      </c>
      <c r="AC176" s="15">
        <v>0.1996</v>
      </c>
      <c r="AD176" s="101">
        <v>0</v>
      </c>
      <c r="AE176" s="14">
        <f t="shared" si="151"/>
        <v>0.23669999999999999</v>
      </c>
      <c r="AF176" s="15">
        <f t="shared" si="152"/>
        <v>0.1996</v>
      </c>
      <c r="AG176" s="101" t="str">
        <f t="shared" si="153"/>
        <v>-</v>
      </c>
      <c r="AH176" s="14"/>
      <c r="AI176" s="15">
        <v>6.165</v>
      </c>
      <c r="AJ176" s="15">
        <v>9.7710000000000008</v>
      </c>
      <c r="AK176" s="101">
        <v>3.2000000000000001E-2</v>
      </c>
      <c r="AL176" s="14">
        <f t="shared" si="154"/>
        <v>6.165</v>
      </c>
      <c r="AM176" s="15">
        <f t="shared" si="155"/>
        <v>9.7710000000000008</v>
      </c>
      <c r="AN176" s="101">
        <f t="shared" si="156"/>
        <v>3.2000000000000001E-2</v>
      </c>
    </row>
    <row r="177" spans="1:40" s="15" customFormat="1" x14ac:dyDescent="0.35">
      <c r="B177" s="15">
        <v>192</v>
      </c>
      <c r="C177" s="47" t="s">
        <v>135</v>
      </c>
      <c r="D177" s="15" t="s">
        <v>9</v>
      </c>
      <c r="E177" s="15">
        <v>1</v>
      </c>
      <c r="F177" s="15">
        <v>911</v>
      </c>
      <c r="G177" s="15">
        <v>6</v>
      </c>
      <c r="H177" s="15">
        <v>120</v>
      </c>
      <c r="I177" s="15">
        <v>1</v>
      </c>
      <c r="J177" s="15">
        <v>5000</v>
      </c>
      <c r="K177" s="15">
        <v>65</v>
      </c>
      <c r="L177" s="15">
        <v>1</v>
      </c>
      <c r="M177" s="15">
        <f>(171+174.5)-(144+146.5)</f>
        <v>55</v>
      </c>
      <c r="R177" s="15">
        <f t="shared" si="148"/>
        <v>0.58770290442775364</v>
      </c>
      <c r="S177" s="15">
        <f t="shared" si="149"/>
        <v>0.37081039871017313</v>
      </c>
      <c r="T177" s="15">
        <f t="shared" si="150"/>
        <v>113.22463768115941</v>
      </c>
      <c r="U177" s="97">
        <f t="shared" si="144"/>
        <v>0.91866991078669902</v>
      </c>
      <c r="V177" s="97">
        <f t="shared" si="145"/>
        <v>0.96432299662265897</v>
      </c>
      <c r="W177" s="97">
        <f t="shared" si="146"/>
        <v>1</v>
      </c>
      <c r="X177" s="15">
        <v>1518</v>
      </c>
      <c r="Y177" s="15">
        <v>1189</v>
      </c>
      <c r="Z177" s="100">
        <f t="shared" si="147"/>
        <v>0.21673254281949939</v>
      </c>
      <c r="AA177" s="14"/>
      <c r="AB177" s="15">
        <v>0.50139999999999996</v>
      </c>
      <c r="AC177" s="15">
        <v>0.34860000000000002</v>
      </c>
      <c r="AD177" s="101">
        <v>0</v>
      </c>
      <c r="AE177" s="14">
        <f t="shared" si="151"/>
        <v>0.50139999999999996</v>
      </c>
      <c r="AF177" s="15">
        <f t="shared" si="152"/>
        <v>0.34860000000000002</v>
      </c>
      <c r="AG177" s="101" t="str">
        <f t="shared" si="153"/>
        <v>-</v>
      </c>
      <c r="AH177" s="14"/>
      <c r="AI177" s="15">
        <v>6.165</v>
      </c>
      <c r="AJ177" s="15">
        <v>9.7710000000000008</v>
      </c>
      <c r="AK177" s="101">
        <v>3.2000000000000001E-2</v>
      </c>
      <c r="AL177" s="14">
        <f t="shared" si="154"/>
        <v>6.165</v>
      </c>
      <c r="AM177" s="15">
        <f t="shared" si="155"/>
        <v>9.7710000000000008</v>
      </c>
      <c r="AN177" s="101">
        <f t="shared" si="156"/>
        <v>3.2000000000000001E-2</v>
      </c>
    </row>
    <row r="178" spans="1:40" s="15" customFormat="1" x14ac:dyDescent="0.35">
      <c r="B178" s="15">
        <v>193</v>
      </c>
      <c r="C178" s="47" t="s">
        <v>136</v>
      </c>
      <c r="D178" s="15" t="s">
        <v>9</v>
      </c>
      <c r="E178" s="15">
        <v>1</v>
      </c>
      <c r="F178" s="15">
        <v>911</v>
      </c>
      <c r="G178" s="15">
        <v>9</v>
      </c>
      <c r="H178" s="15">
        <v>95</v>
      </c>
      <c r="I178" s="15">
        <v>1</v>
      </c>
      <c r="J178" s="15">
        <v>5000</v>
      </c>
      <c r="K178" s="15">
        <v>65</v>
      </c>
      <c r="L178" s="15">
        <v>1</v>
      </c>
      <c r="M178" s="15">
        <f>(171+173.5)-(144+145.5)</f>
        <v>55</v>
      </c>
      <c r="R178" s="15">
        <f t="shared" si="148"/>
        <v>0.54464774659421855</v>
      </c>
      <c r="S178" s="15">
        <f t="shared" si="149"/>
        <v>0.34364480173506884</v>
      </c>
      <c r="T178" s="15">
        <f t="shared" si="150"/>
        <v>104.92979242979241</v>
      </c>
      <c r="U178" s="97">
        <f t="shared" si="144"/>
        <v>0.95693430656934297</v>
      </c>
      <c r="V178" s="97">
        <f t="shared" si="145"/>
        <v>0.97578548766758788</v>
      </c>
      <c r="W178" s="97">
        <f t="shared" si="146"/>
        <v>0.65625</v>
      </c>
      <c r="X178" s="15">
        <v>1638</v>
      </c>
      <c r="Y178" s="15">
        <v>1302</v>
      </c>
      <c r="Z178" s="100">
        <f t="shared" si="147"/>
        <v>0.20512820512820518</v>
      </c>
      <c r="AA178" s="14"/>
      <c r="AB178" s="15">
        <v>0.26550000000000001</v>
      </c>
      <c r="AC178" s="15">
        <v>0.2366</v>
      </c>
      <c r="AD178" s="128">
        <v>1.0999999999999999E-2</v>
      </c>
      <c r="AE178" s="14">
        <f t="shared" si="151"/>
        <v>0.26550000000000001</v>
      </c>
      <c r="AF178" s="15">
        <f t="shared" si="152"/>
        <v>0.2366</v>
      </c>
      <c r="AG178" s="101">
        <f t="shared" si="153"/>
        <v>1.0999999999999999E-2</v>
      </c>
      <c r="AH178" s="14"/>
      <c r="AI178" s="15">
        <v>6.165</v>
      </c>
      <c r="AJ178" s="15">
        <v>9.7710000000000008</v>
      </c>
      <c r="AK178" s="101">
        <v>3.2000000000000001E-2</v>
      </c>
      <c r="AL178" s="14">
        <f t="shared" si="154"/>
        <v>6.165</v>
      </c>
      <c r="AM178" s="15">
        <f t="shared" si="155"/>
        <v>9.7710000000000008</v>
      </c>
      <c r="AN178" s="101">
        <f t="shared" si="156"/>
        <v>3.2000000000000001E-2</v>
      </c>
    </row>
    <row r="179" spans="1:40" s="15" customFormat="1" x14ac:dyDescent="0.35">
      <c r="B179" s="15">
        <v>194</v>
      </c>
      <c r="C179" s="50">
        <v>43418</v>
      </c>
      <c r="D179" s="15" t="s">
        <v>9</v>
      </c>
      <c r="E179" s="15">
        <v>1</v>
      </c>
      <c r="F179" s="15">
        <v>911</v>
      </c>
      <c r="G179" s="15">
        <v>10</v>
      </c>
      <c r="H179" s="15">
        <v>100</v>
      </c>
      <c r="I179" s="15">
        <v>2</v>
      </c>
      <c r="J179" s="15">
        <v>5000</v>
      </c>
      <c r="K179" s="15">
        <v>65</v>
      </c>
      <c r="L179" s="15">
        <v>1</v>
      </c>
      <c r="M179" s="15">
        <f>(165+150+173.5+174)-(131+131.5+172.5+172.5)</f>
        <v>55</v>
      </c>
      <c r="R179" s="15">
        <f t="shared" si="148"/>
        <v>0.55002035075297784</v>
      </c>
      <c r="S179" s="15">
        <f t="shared" si="149"/>
        <v>0.34703463948338026</v>
      </c>
      <c r="T179" s="15">
        <f t="shared" si="150"/>
        <v>105.96485819975338</v>
      </c>
      <c r="U179" s="97">
        <f t="shared" si="144"/>
        <v>0.95581508515815083</v>
      </c>
      <c r="V179" s="97">
        <f t="shared" si="145"/>
        <v>0.97628697165080336</v>
      </c>
      <c r="W179" s="97">
        <f t="shared" si="146"/>
        <v>0.89375000000000004</v>
      </c>
      <c r="X179" s="15">
        <v>1622</v>
      </c>
      <c r="Y179" s="15">
        <v>1285.5</v>
      </c>
      <c r="Z179" s="100">
        <f t="shared" si="147"/>
        <v>0.2074599260172626</v>
      </c>
      <c r="AA179" s="14"/>
      <c r="AB179" s="15">
        <v>0.27239999999999998</v>
      </c>
      <c r="AC179" s="15">
        <v>0.23169999999999999</v>
      </c>
      <c r="AD179" s="101">
        <v>3.3999999999999998E-3</v>
      </c>
      <c r="AE179" s="14">
        <f t="shared" ref="AE179:AE209" si="157">IF(AB179,AB179/(1-$AA179),"-")</f>
        <v>0.27239999999999998</v>
      </c>
      <c r="AF179" s="15">
        <f t="shared" ref="AF179:AF209" si="158">IF(AC179,AC179/(1-$AA179),"-")</f>
        <v>0.23169999999999999</v>
      </c>
      <c r="AG179" s="101">
        <f t="shared" ref="AG179:AG209" si="159">IF(AD179,AD179/(1-$AA179),"-")</f>
        <v>3.3999999999999998E-3</v>
      </c>
      <c r="AH179" s="14"/>
      <c r="AI179" s="15">
        <v>6.165</v>
      </c>
      <c r="AJ179" s="15">
        <v>9.7710000000000008</v>
      </c>
      <c r="AK179" s="101">
        <v>3.2000000000000001E-2</v>
      </c>
      <c r="AL179" s="14">
        <f t="shared" si="154"/>
        <v>6.165</v>
      </c>
      <c r="AM179" s="15">
        <f t="shared" si="155"/>
        <v>9.7710000000000008</v>
      </c>
      <c r="AN179" s="101">
        <f t="shared" si="156"/>
        <v>3.2000000000000001E-2</v>
      </c>
    </row>
    <row r="180" spans="1:40" s="76" customFormat="1" ht="15" thickBot="1" x14ac:dyDescent="0.4">
      <c r="B180" s="76">
        <v>195</v>
      </c>
      <c r="C180" s="130">
        <v>43418</v>
      </c>
      <c r="D180" s="76" t="s">
        <v>9</v>
      </c>
      <c r="E180" s="76">
        <v>1</v>
      </c>
      <c r="F180" s="76">
        <v>911</v>
      </c>
      <c r="G180" s="76">
        <v>11</v>
      </c>
      <c r="H180" s="76">
        <v>100</v>
      </c>
      <c r="I180" s="76">
        <v>1</v>
      </c>
      <c r="J180" s="76">
        <v>5000</v>
      </c>
      <c r="K180" s="76">
        <v>65</v>
      </c>
      <c r="L180" s="76">
        <v>1</v>
      </c>
      <c r="M180" s="76">
        <f>(172.5+172.5)-(148+146.5)</f>
        <v>50.5</v>
      </c>
      <c r="R180" s="76">
        <f t="shared" si="148"/>
        <v>0.67005342183345851</v>
      </c>
      <c r="S180" s="76">
        <f t="shared" si="149"/>
        <v>0.42276935273802801</v>
      </c>
      <c r="T180" s="76">
        <f t="shared" si="150"/>
        <v>129.08997955010224</v>
      </c>
      <c r="U180" s="105">
        <f t="shared" ref="U180:U204" si="160">IF(AB180&lt;&gt;"",(AI180-AB180)/AI180,"-")</f>
        <v>0.97459854014598535</v>
      </c>
      <c r="V180" s="105">
        <f t="shared" ref="V180:V204" si="161">IF(AC180&lt;&gt;"",(AJ180-AC180)/AJ180,"-")</f>
        <v>0.98213079521031621</v>
      </c>
      <c r="W180" s="105">
        <f t="shared" ref="W180:W204" si="162">IF(AD180&lt;&gt;"",(AK180-AD180)/AK180,"-")</f>
        <v>1</v>
      </c>
      <c r="X180" s="76">
        <v>1222.5</v>
      </c>
      <c r="Y180" s="76">
        <v>950.5</v>
      </c>
      <c r="Z180" s="102">
        <f t="shared" si="147"/>
        <v>0.22249488752556235</v>
      </c>
      <c r="AA180" s="78"/>
      <c r="AB180" s="76">
        <v>0.15659999999999999</v>
      </c>
      <c r="AC180" s="76">
        <v>0.17460000000000001</v>
      </c>
      <c r="AD180" s="103">
        <v>0</v>
      </c>
      <c r="AE180" s="78">
        <f t="shared" si="157"/>
        <v>0.15659999999999999</v>
      </c>
      <c r="AF180" s="76">
        <f t="shared" si="158"/>
        <v>0.17460000000000001</v>
      </c>
      <c r="AG180" s="103" t="str">
        <f t="shared" si="159"/>
        <v>-</v>
      </c>
      <c r="AH180" s="78"/>
      <c r="AI180" s="76">
        <v>6.165</v>
      </c>
      <c r="AJ180" s="76">
        <v>9.7710000000000008</v>
      </c>
      <c r="AK180" s="103">
        <v>3.2000000000000001E-2</v>
      </c>
      <c r="AL180" s="78">
        <f t="shared" si="154"/>
        <v>6.165</v>
      </c>
      <c r="AM180" s="76">
        <f t="shared" si="155"/>
        <v>9.7710000000000008</v>
      </c>
      <c r="AN180" s="103">
        <f t="shared" si="156"/>
        <v>3.2000000000000001E-2</v>
      </c>
    </row>
    <row r="181" spans="1:40" s="73" customFormat="1" ht="15" thickTop="1" x14ac:dyDescent="0.35">
      <c r="B181" s="73">
        <v>196</v>
      </c>
      <c r="C181" s="74" t="s">
        <v>137</v>
      </c>
      <c r="D181" s="73" t="s">
        <v>9</v>
      </c>
      <c r="E181" s="73">
        <v>1</v>
      </c>
      <c r="F181" s="73">
        <v>920</v>
      </c>
      <c r="G181" s="73">
        <v>1</v>
      </c>
      <c r="H181" s="73">
        <v>90</v>
      </c>
      <c r="I181" s="73">
        <v>1</v>
      </c>
      <c r="J181" s="73">
        <v>5000</v>
      </c>
      <c r="K181" s="73">
        <v>65</v>
      </c>
      <c r="L181" s="73">
        <v>1</v>
      </c>
      <c r="M181" s="73">
        <f>(161+178.5)-(134.5+150)</f>
        <v>55</v>
      </c>
      <c r="R181" s="73">
        <f t="shared" si="148"/>
        <v>0.67286197190886909</v>
      </c>
      <c r="S181" s="73">
        <f t="shared" si="149"/>
        <v>0.39668835902864141</v>
      </c>
      <c r="T181" s="73">
        <f t="shared" si="150"/>
        <v>127.54214688217425</v>
      </c>
      <c r="U181" s="104">
        <f t="shared" si="160"/>
        <v>0.95146443514644352</v>
      </c>
      <c r="V181" s="104">
        <f t="shared" si="161"/>
        <v>0.97353067353067346</v>
      </c>
      <c r="W181" s="104">
        <f t="shared" si="162"/>
        <v>0.78620689655172415</v>
      </c>
      <c r="X181" s="73">
        <v>1487</v>
      </c>
      <c r="Y181" s="73">
        <v>1171.5</v>
      </c>
      <c r="Z181" s="98">
        <f t="shared" ref="Z181:Z242" si="163">IF(Y181,1-Y181/X181,"-")</f>
        <v>0.21217215870880968</v>
      </c>
      <c r="AA181" s="75"/>
      <c r="AB181" s="73">
        <v>0.26679999999999998</v>
      </c>
      <c r="AC181" s="73">
        <v>0.24679999999999999</v>
      </c>
      <c r="AD181" s="99">
        <v>6.1999999999999998E-3</v>
      </c>
      <c r="AE181" s="75">
        <f t="shared" si="157"/>
        <v>0.26679999999999998</v>
      </c>
      <c r="AF181" s="73">
        <f t="shared" si="158"/>
        <v>0.24679999999999999</v>
      </c>
      <c r="AG181" s="99">
        <f t="shared" si="159"/>
        <v>6.1999999999999998E-3</v>
      </c>
      <c r="AH181" s="75"/>
      <c r="AI181" s="125">
        <v>5.4969999999999999</v>
      </c>
      <c r="AJ181" s="73">
        <v>9.3239999999999998</v>
      </c>
      <c r="AK181" s="99">
        <v>2.9000000000000001E-2</v>
      </c>
      <c r="AL181" s="75">
        <f t="shared" si="154"/>
        <v>5.4969999999999999</v>
      </c>
      <c r="AM181" s="73">
        <f t="shared" si="155"/>
        <v>9.3239999999999998</v>
      </c>
      <c r="AN181" s="99">
        <f t="shared" si="156"/>
        <v>2.9000000000000001E-2</v>
      </c>
    </row>
    <row r="182" spans="1:40" s="15" customFormat="1" x14ac:dyDescent="0.35">
      <c r="B182" s="15">
        <v>197</v>
      </c>
      <c r="C182" s="47" t="s">
        <v>137</v>
      </c>
      <c r="D182" s="15" t="s">
        <v>9</v>
      </c>
      <c r="E182" s="15">
        <v>1</v>
      </c>
      <c r="F182" s="15">
        <v>920</v>
      </c>
      <c r="G182" s="15">
        <v>2</v>
      </c>
      <c r="H182" s="15">
        <v>125</v>
      </c>
      <c r="I182" s="15">
        <v>2</v>
      </c>
      <c r="J182" s="15">
        <v>5000</v>
      </c>
      <c r="K182" s="15">
        <v>65</v>
      </c>
      <c r="L182" s="15">
        <v>1</v>
      </c>
      <c r="M182" s="15">
        <f>(184.5+171.5)-(164+137)</f>
        <v>55</v>
      </c>
      <c r="R182" s="15">
        <f t="shared" si="148"/>
        <v>0.67925712982246322</v>
      </c>
      <c r="S182" s="15">
        <f t="shared" si="149"/>
        <v>0.40045864893115402</v>
      </c>
      <c r="T182" s="15">
        <f t="shared" si="150"/>
        <v>128.75436009083035</v>
      </c>
      <c r="U182" s="97">
        <f t="shared" si="160"/>
        <v>0.97953429143169002</v>
      </c>
      <c r="V182" s="97">
        <f t="shared" si="161"/>
        <v>0.98548906048906038</v>
      </c>
      <c r="W182" s="97">
        <f t="shared" si="162"/>
        <v>0.78965517241379302</v>
      </c>
      <c r="X182" s="15">
        <v>1473</v>
      </c>
      <c r="Y182" s="15">
        <v>1133.5</v>
      </c>
      <c r="Z182" s="100">
        <f t="shared" si="163"/>
        <v>0.23048200950441278</v>
      </c>
      <c r="AA182" s="14"/>
      <c r="AB182" s="15">
        <v>0.1125</v>
      </c>
      <c r="AC182" s="15">
        <v>0.1353</v>
      </c>
      <c r="AD182" s="101">
        <v>6.1000000000000004E-3</v>
      </c>
      <c r="AE182" s="14">
        <f t="shared" si="157"/>
        <v>0.1125</v>
      </c>
      <c r="AF182" s="15">
        <f t="shared" si="158"/>
        <v>0.1353</v>
      </c>
      <c r="AG182" s="101">
        <f t="shared" si="159"/>
        <v>6.1000000000000004E-3</v>
      </c>
      <c r="AH182" s="14"/>
      <c r="AI182" s="126">
        <v>5.4969999999999999</v>
      </c>
      <c r="AJ182" s="15">
        <v>9.3239999999999998</v>
      </c>
      <c r="AK182" s="15">
        <v>2.9000000000000001E-2</v>
      </c>
      <c r="AL182" s="15">
        <f t="shared" si="154"/>
        <v>5.4969999999999999</v>
      </c>
      <c r="AM182" s="15">
        <f t="shared" si="155"/>
        <v>9.3239999999999998</v>
      </c>
      <c r="AN182" s="101">
        <f t="shared" si="156"/>
        <v>2.9000000000000001E-2</v>
      </c>
    </row>
    <row r="183" spans="1:40" s="15" customFormat="1" x14ac:dyDescent="0.35">
      <c r="B183" s="15">
        <v>198</v>
      </c>
      <c r="C183" s="47" t="s">
        <v>137</v>
      </c>
      <c r="D183" s="15" t="s">
        <v>9</v>
      </c>
      <c r="E183" s="15">
        <v>1</v>
      </c>
      <c r="F183" s="15">
        <v>920</v>
      </c>
      <c r="G183" s="15">
        <v>3</v>
      </c>
      <c r="H183" s="15">
        <v>230</v>
      </c>
      <c r="I183" s="15">
        <v>1</v>
      </c>
      <c r="J183" s="15">
        <v>5000</v>
      </c>
      <c r="K183" s="15">
        <v>65</v>
      </c>
      <c r="L183" s="15">
        <v>1</v>
      </c>
      <c r="M183" s="15">
        <f>(166+165.5+163.5+137)-(155.5+131+155.5+135)</f>
        <v>55</v>
      </c>
      <c r="R183" s="15">
        <f t="shared" si="148"/>
        <v>0.64572168585252554</v>
      </c>
      <c r="S183" s="15">
        <f t="shared" si="149"/>
        <v>0.38068769917753459</v>
      </c>
      <c r="T183" s="15">
        <f t="shared" si="150"/>
        <v>122.39765886659768</v>
      </c>
      <c r="U183" s="97">
        <f t="shared" si="160"/>
        <v>0.97605966891031481</v>
      </c>
      <c r="V183" s="97">
        <f t="shared" si="161"/>
        <v>0.99115186615186623</v>
      </c>
      <c r="W183" s="97">
        <f t="shared" si="162"/>
        <v>0.78620689655172415</v>
      </c>
      <c r="X183" s="15">
        <v>1549.5</v>
      </c>
      <c r="Y183" s="15">
        <v>1180</v>
      </c>
      <c r="Z183" s="100">
        <f t="shared" si="163"/>
        <v>0.23846402065182315</v>
      </c>
      <c r="AA183" s="14"/>
      <c r="AB183" s="15">
        <v>0.13159999999999999</v>
      </c>
      <c r="AC183" s="15">
        <v>8.2500000000000004E-2</v>
      </c>
      <c r="AD183" s="101">
        <v>6.1999999999999998E-3</v>
      </c>
      <c r="AE183" s="14">
        <f t="shared" si="157"/>
        <v>0.13159999999999999</v>
      </c>
      <c r="AF183" s="15">
        <f t="shared" si="158"/>
        <v>8.2500000000000004E-2</v>
      </c>
      <c r="AG183" s="101">
        <f t="shared" si="159"/>
        <v>6.1999999999999998E-3</v>
      </c>
      <c r="AH183" s="14"/>
      <c r="AI183" s="126">
        <v>5.4969999999999999</v>
      </c>
      <c r="AJ183" s="15">
        <v>9.3239999999999998</v>
      </c>
      <c r="AK183" s="15">
        <v>2.9000000000000001E-2</v>
      </c>
      <c r="AL183" s="15">
        <f t="shared" si="154"/>
        <v>5.4969999999999999</v>
      </c>
      <c r="AM183" s="15">
        <f t="shared" si="155"/>
        <v>9.3239999999999998</v>
      </c>
      <c r="AN183" s="101">
        <f t="shared" si="156"/>
        <v>2.9000000000000001E-2</v>
      </c>
    </row>
    <row r="184" spans="1:40" s="15" customFormat="1" x14ac:dyDescent="0.35">
      <c r="B184" s="15">
        <v>199</v>
      </c>
      <c r="C184" s="47" t="s">
        <v>138</v>
      </c>
      <c r="D184" s="15" t="s">
        <v>9</v>
      </c>
      <c r="E184" s="15">
        <v>1</v>
      </c>
      <c r="F184" s="15">
        <v>920</v>
      </c>
      <c r="G184" s="15">
        <v>4</v>
      </c>
      <c r="H184" s="15">
        <v>90</v>
      </c>
      <c r="I184" s="15">
        <v>2</v>
      </c>
      <c r="J184" s="15">
        <v>5000</v>
      </c>
      <c r="K184" s="15">
        <v>65</v>
      </c>
      <c r="L184" s="15">
        <v>1</v>
      </c>
      <c r="M184" s="15">
        <f>(185.5+180.5)-(157.5+153.5)</f>
        <v>55</v>
      </c>
      <c r="R184" s="15">
        <f t="shared" si="148"/>
        <v>0.63830669998627643</v>
      </c>
      <c r="S184" s="15">
        <f t="shared" si="149"/>
        <v>0.37631616578984994</v>
      </c>
      <c r="T184" s="15">
        <f t="shared" si="150"/>
        <v>120.99213551119178</v>
      </c>
      <c r="U184" s="97">
        <f t="shared" si="160"/>
        <v>0.96761870110969617</v>
      </c>
      <c r="V184" s="97">
        <f t="shared" si="161"/>
        <v>0.98155298155298154</v>
      </c>
      <c r="W184" s="97">
        <f t="shared" si="162"/>
        <v>0.80689655172413788</v>
      </c>
      <c r="X184" s="15">
        <v>1567.5</v>
      </c>
      <c r="Y184" s="15">
        <v>1232</v>
      </c>
      <c r="Z184" s="100">
        <f t="shared" si="163"/>
        <v>0.21403508771929824</v>
      </c>
      <c r="AA184" s="14"/>
      <c r="AB184" s="127">
        <v>0.17799999999999999</v>
      </c>
      <c r="AC184" s="127">
        <v>0.17199999999999999</v>
      </c>
      <c r="AD184" s="101">
        <v>5.5999999999999999E-3</v>
      </c>
      <c r="AE184" s="14">
        <f t="shared" si="157"/>
        <v>0.17799999999999999</v>
      </c>
      <c r="AF184" s="15">
        <f t="shared" si="158"/>
        <v>0.17199999999999999</v>
      </c>
      <c r="AG184" s="101">
        <f t="shared" si="159"/>
        <v>5.5999999999999999E-3</v>
      </c>
      <c r="AH184" s="14"/>
      <c r="AI184" s="126">
        <v>5.4969999999999999</v>
      </c>
      <c r="AJ184" s="15">
        <v>9.3239999999999998</v>
      </c>
      <c r="AK184" s="15">
        <v>2.9000000000000001E-2</v>
      </c>
      <c r="AL184" s="15">
        <f t="shared" si="154"/>
        <v>5.4969999999999999</v>
      </c>
      <c r="AM184" s="15">
        <f t="shared" si="155"/>
        <v>9.3239999999999998</v>
      </c>
      <c r="AN184" s="101">
        <f t="shared" si="156"/>
        <v>2.9000000000000001E-2</v>
      </c>
    </row>
    <row r="185" spans="1:40" s="15" customFormat="1" x14ac:dyDescent="0.35">
      <c r="B185" s="15">
        <v>200</v>
      </c>
      <c r="C185" s="47" t="s">
        <v>138</v>
      </c>
      <c r="D185" s="15" t="s">
        <v>9</v>
      </c>
      <c r="E185" s="15">
        <v>1</v>
      </c>
      <c r="F185" s="15">
        <v>920</v>
      </c>
      <c r="G185" s="15">
        <v>5</v>
      </c>
      <c r="H185" s="15">
        <v>100</v>
      </c>
      <c r="I185" s="15">
        <v>1</v>
      </c>
      <c r="J185" s="15">
        <v>5000</v>
      </c>
      <c r="K185" s="15">
        <v>65</v>
      </c>
      <c r="L185" s="15">
        <v>1</v>
      </c>
      <c r="M185" s="15">
        <f>(160.5+122)-(133+94.5)</f>
        <v>55</v>
      </c>
      <c r="R185" s="15">
        <f t="shared" si="148"/>
        <v>0.67879630408988356</v>
      </c>
      <c r="S185" s="15">
        <f t="shared" si="149"/>
        <v>0.40018696735114639</v>
      </c>
      <c r="T185" s="15">
        <f t="shared" si="150"/>
        <v>128.66700977869274</v>
      </c>
      <c r="U185" s="97">
        <f t="shared" si="160"/>
        <v>0.93678370020010915</v>
      </c>
      <c r="V185" s="97">
        <f t="shared" si="161"/>
        <v>0.96825396825396837</v>
      </c>
      <c r="W185" s="97">
        <f t="shared" si="162"/>
        <v>0.87241379310344835</v>
      </c>
      <c r="X185" s="15">
        <v>1474</v>
      </c>
      <c r="Y185" s="15">
        <v>1152</v>
      </c>
      <c r="Z185" s="100">
        <f t="shared" si="163"/>
        <v>0.21845318860244234</v>
      </c>
      <c r="AA185" s="14"/>
      <c r="AB185" s="15">
        <v>0.34749999999999998</v>
      </c>
      <c r="AC185" s="127">
        <v>0.29599999999999999</v>
      </c>
      <c r="AD185" s="101">
        <v>3.7000000000000002E-3</v>
      </c>
      <c r="AE185" s="14">
        <f t="shared" si="157"/>
        <v>0.34749999999999998</v>
      </c>
      <c r="AF185" s="15">
        <f t="shared" si="158"/>
        <v>0.29599999999999999</v>
      </c>
      <c r="AG185" s="101">
        <f t="shared" si="159"/>
        <v>3.7000000000000002E-3</v>
      </c>
      <c r="AH185" s="14"/>
      <c r="AI185" s="126">
        <v>5.4969999999999999</v>
      </c>
      <c r="AJ185" s="15">
        <v>9.3239999999999998</v>
      </c>
      <c r="AK185" s="15">
        <v>2.9000000000000001E-2</v>
      </c>
      <c r="AL185" s="15">
        <f t="shared" si="154"/>
        <v>5.4969999999999999</v>
      </c>
      <c r="AM185" s="15">
        <f t="shared" si="155"/>
        <v>9.3239999999999998</v>
      </c>
      <c r="AN185" s="101">
        <f t="shared" si="156"/>
        <v>2.9000000000000001E-2</v>
      </c>
    </row>
    <row r="186" spans="1:40" s="15" customFormat="1" x14ac:dyDescent="0.35">
      <c r="B186" s="15">
        <v>201</v>
      </c>
      <c r="C186" s="47" t="s">
        <v>138</v>
      </c>
      <c r="D186" s="15" t="s">
        <v>9</v>
      </c>
      <c r="E186" s="15">
        <v>1</v>
      </c>
      <c r="F186" s="15">
        <v>920</v>
      </c>
      <c r="G186" s="15">
        <v>6</v>
      </c>
      <c r="H186" s="15">
        <v>120</v>
      </c>
      <c r="I186" s="15">
        <v>2</v>
      </c>
      <c r="J186" s="15">
        <v>5000</v>
      </c>
      <c r="K186" s="15">
        <v>65</v>
      </c>
      <c r="L186" s="15">
        <v>1</v>
      </c>
      <c r="M186" s="15">
        <f>(152+153)-(124.5+125.5)</f>
        <v>55</v>
      </c>
      <c r="R186" s="15">
        <f t="shared" si="148"/>
        <v>0.63708739396911074</v>
      </c>
      <c r="S186" s="15">
        <f t="shared" si="149"/>
        <v>0.37559731924583878</v>
      </c>
      <c r="T186" s="15">
        <f t="shared" si="150"/>
        <v>120.76101395338625</v>
      </c>
      <c r="U186" s="97">
        <f t="shared" si="160"/>
        <v>0.98462797889758047</v>
      </c>
      <c r="V186" s="97">
        <f t="shared" si="161"/>
        <v>0.98888888888888893</v>
      </c>
      <c r="W186" s="97">
        <f t="shared" si="162"/>
        <v>0.76206896551724135</v>
      </c>
      <c r="X186" s="15">
        <v>1570.5</v>
      </c>
      <c r="Y186" s="15">
        <v>1209.5</v>
      </c>
      <c r="Z186" s="100">
        <f t="shared" si="163"/>
        <v>0.22986310092327289</v>
      </c>
      <c r="AA186" s="14"/>
      <c r="AB186" s="15">
        <v>8.4500000000000006E-2</v>
      </c>
      <c r="AC186" s="15">
        <v>0.1036</v>
      </c>
      <c r="AD186" s="101">
        <v>6.8999999999999999E-3</v>
      </c>
      <c r="AE186" s="14">
        <f t="shared" si="157"/>
        <v>8.4500000000000006E-2</v>
      </c>
      <c r="AF186" s="15">
        <f t="shared" si="158"/>
        <v>0.1036</v>
      </c>
      <c r="AG186" s="101">
        <f t="shared" si="159"/>
        <v>6.8999999999999999E-3</v>
      </c>
      <c r="AH186" s="14"/>
      <c r="AI186" s="126">
        <v>5.4969999999999999</v>
      </c>
      <c r="AJ186" s="15">
        <v>9.3239999999999998</v>
      </c>
      <c r="AK186" s="15">
        <v>2.9000000000000001E-2</v>
      </c>
      <c r="AL186" s="15">
        <f t="shared" si="154"/>
        <v>5.4969999999999999</v>
      </c>
      <c r="AM186" s="15">
        <f t="shared" si="155"/>
        <v>9.3239999999999998</v>
      </c>
      <c r="AN186" s="101">
        <f t="shared" si="156"/>
        <v>2.9000000000000001E-2</v>
      </c>
    </row>
    <row r="187" spans="1:40" s="76" customFormat="1" ht="15" thickBot="1" x14ac:dyDescent="0.4">
      <c r="B187" s="76">
        <v>202</v>
      </c>
      <c r="C187" s="77" t="s">
        <v>138</v>
      </c>
      <c r="D187" s="76" t="s">
        <v>9</v>
      </c>
      <c r="E187" s="76">
        <v>1</v>
      </c>
      <c r="F187" s="76">
        <v>920</v>
      </c>
      <c r="G187" s="76">
        <v>7</v>
      </c>
      <c r="H187" s="76">
        <v>140</v>
      </c>
      <c r="I187" s="76">
        <v>1</v>
      </c>
      <c r="J187" s="76">
        <v>5000</v>
      </c>
      <c r="K187" s="76">
        <v>65</v>
      </c>
      <c r="L187" s="76">
        <v>1</v>
      </c>
      <c r="M187" s="76">
        <f>(170.5+185.5+124.5+163.5)-(162.5+150.5+118.5+157.5)</f>
        <v>55</v>
      </c>
      <c r="R187" s="76">
        <f t="shared" si="148"/>
        <v>0.64199278295058604</v>
      </c>
      <c r="S187" s="76">
        <f t="shared" si="149"/>
        <v>0.3784893101543727</v>
      </c>
      <c r="T187" s="76">
        <f t="shared" si="150"/>
        <v>121.69083889239211</v>
      </c>
      <c r="U187" s="105">
        <f t="shared" si="160"/>
        <v>0.98913953065308347</v>
      </c>
      <c r="V187" s="105">
        <f t="shared" si="161"/>
        <v>0.9931788931788933</v>
      </c>
      <c r="W187" s="105">
        <f t="shared" si="162"/>
        <v>0.80344827586206902</v>
      </c>
      <c r="X187" s="76">
        <v>1558.5</v>
      </c>
      <c r="Y187" s="76">
        <v>1199.5</v>
      </c>
      <c r="Z187" s="102">
        <f t="shared" si="163"/>
        <v>0.23034969521976256</v>
      </c>
      <c r="AA187" s="78"/>
      <c r="AB187" s="76">
        <v>5.9700000000000003E-2</v>
      </c>
      <c r="AC187" s="76">
        <v>6.3600000000000004E-2</v>
      </c>
      <c r="AD187" s="103">
        <v>5.7000000000000002E-3</v>
      </c>
      <c r="AE187" s="78">
        <f t="shared" si="157"/>
        <v>5.9700000000000003E-2</v>
      </c>
      <c r="AF187" s="76">
        <f t="shared" si="158"/>
        <v>6.3600000000000004E-2</v>
      </c>
      <c r="AG187" s="103">
        <f t="shared" si="159"/>
        <v>5.7000000000000002E-3</v>
      </c>
      <c r="AH187" s="78"/>
      <c r="AI187" s="129">
        <v>5.4969999999999999</v>
      </c>
      <c r="AJ187" s="76">
        <v>9.3239999999999998</v>
      </c>
      <c r="AK187" s="76">
        <v>2.9000000000000001E-2</v>
      </c>
      <c r="AL187" s="76">
        <f t="shared" si="154"/>
        <v>5.4969999999999999</v>
      </c>
      <c r="AM187" s="76">
        <f t="shared" si="155"/>
        <v>9.3239999999999998</v>
      </c>
      <c r="AN187" s="103">
        <f t="shared" si="156"/>
        <v>2.9000000000000001E-2</v>
      </c>
    </row>
    <row r="188" spans="1:40" s="17" customFormat="1" ht="0.5" customHeight="1" thickTop="1" thickBot="1" x14ac:dyDescent="0.4">
      <c r="B188" s="17">
        <v>203</v>
      </c>
      <c r="C188" s="38" t="s">
        <v>139</v>
      </c>
      <c r="D188" s="17" t="s">
        <v>124</v>
      </c>
      <c r="F188" s="17">
        <v>899</v>
      </c>
      <c r="G188" s="17">
        <v>1</v>
      </c>
      <c r="H188" s="17">
        <v>140</v>
      </c>
      <c r="I188" s="17">
        <v>1</v>
      </c>
      <c r="J188" s="17">
        <v>5000</v>
      </c>
      <c r="K188" s="17">
        <v>65</v>
      </c>
      <c r="L188" s="17">
        <v>1</v>
      </c>
      <c r="M188" s="17">
        <f>(156+126+172.5+164)-(134.5+122.5+146.5+134.5)</f>
        <v>80.5</v>
      </c>
      <c r="R188" s="17">
        <f t="shared" si="148"/>
        <v>0.53516735963083695</v>
      </c>
      <c r="S188" s="17">
        <f t="shared" si="149"/>
        <v>224.71910112359549</v>
      </c>
      <c r="T188" s="17">
        <f t="shared" si="150"/>
        <v>55.575691675727924</v>
      </c>
      <c r="U188" s="91">
        <f t="shared" si="160"/>
        <v>0.98126902607219046</v>
      </c>
      <c r="V188" s="91">
        <f t="shared" si="161"/>
        <v>1</v>
      </c>
      <c r="W188" s="91">
        <f t="shared" si="162"/>
        <v>0.95376344086021503</v>
      </c>
      <c r="X188" s="17">
        <v>1557.5</v>
      </c>
      <c r="Y188" s="17">
        <v>1371</v>
      </c>
      <c r="Z188" s="93">
        <f t="shared" si="163"/>
        <v>0.11974317817014446</v>
      </c>
      <c r="AA188" s="16"/>
      <c r="AB188" s="17">
        <v>0.18090000000000001</v>
      </c>
      <c r="AC188" s="17">
        <v>0</v>
      </c>
      <c r="AD188" s="21">
        <v>4.3E-3</v>
      </c>
      <c r="AE188" s="16">
        <f t="shared" si="157"/>
        <v>0.18090000000000001</v>
      </c>
      <c r="AF188" s="17" t="str">
        <f t="shared" si="158"/>
        <v>-</v>
      </c>
      <c r="AG188" s="21">
        <f t="shared" si="159"/>
        <v>4.3E-3</v>
      </c>
      <c r="AH188" s="16"/>
      <c r="AI188" s="112">
        <v>9.6577999999999999</v>
      </c>
      <c r="AJ188" s="17">
        <v>2.3E-2</v>
      </c>
      <c r="AK188" s="21">
        <v>9.2999999999999999E-2</v>
      </c>
      <c r="AL188" s="17">
        <f t="shared" si="154"/>
        <v>9.6577999999999999</v>
      </c>
      <c r="AM188" s="17">
        <f t="shared" si="155"/>
        <v>2.3E-2</v>
      </c>
      <c r="AN188" s="21">
        <f t="shared" si="156"/>
        <v>9.2999999999999999E-2</v>
      </c>
    </row>
    <row r="189" spans="1:40" s="59" customFormat="1" ht="15" thickTop="1" x14ac:dyDescent="0.35">
      <c r="A189" s="58"/>
      <c r="B189" s="59">
        <v>204</v>
      </c>
      <c r="C189" s="71" t="s">
        <v>140</v>
      </c>
      <c r="D189" s="59" t="s">
        <v>124</v>
      </c>
      <c r="F189" s="59">
        <v>899</v>
      </c>
      <c r="G189" s="59">
        <v>2</v>
      </c>
      <c r="H189" s="59">
        <v>140</v>
      </c>
      <c r="I189" s="59">
        <v>2</v>
      </c>
      <c r="J189" s="59">
        <v>5000</v>
      </c>
      <c r="K189" s="59">
        <v>65</v>
      </c>
      <c r="L189" s="59">
        <v>1</v>
      </c>
      <c r="M189" s="59">
        <f>(153+181.5+188+181.5)-(148+181.5+153.5+149)</f>
        <v>72</v>
      </c>
      <c r="R189" s="59">
        <f t="shared" si="148"/>
        <v>0.47958275980175402</v>
      </c>
      <c r="S189" s="59">
        <f t="shared" si="149"/>
        <v>201.37888598319046</v>
      </c>
      <c r="T189" s="59">
        <f t="shared" si="150"/>
        <v>49.803380404444958</v>
      </c>
      <c r="U189" s="95">
        <f t="shared" si="160"/>
        <v>0.98327776512249165</v>
      </c>
      <c r="V189" s="95">
        <f t="shared" si="161"/>
        <v>1</v>
      </c>
      <c r="W189" s="95">
        <f t="shared" si="162"/>
        <v>0.9419354838709677</v>
      </c>
      <c r="X189" s="59">
        <v>1554.5</v>
      </c>
      <c r="Y189" s="59">
        <v>1317.5</v>
      </c>
      <c r="Z189" s="92">
        <f t="shared" si="163"/>
        <v>0.15246059826310709</v>
      </c>
      <c r="AA189" s="58"/>
      <c r="AB189" s="59">
        <v>0.1615</v>
      </c>
      <c r="AC189" s="59">
        <v>0</v>
      </c>
      <c r="AD189" s="60">
        <v>5.4000000000000003E-3</v>
      </c>
      <c r="AE189" s="58">
        <f t="shared" si="157"/>
        <v>0.1615</v>
      </c>
      <c r="AF189" s="59" t="str">
        <f t="shared" si="158"/>
        <v>-</v>
      </c>
      <c r="AG189" s="60">
        <f t="shared" si="159"/>
        <v>5.4000000000000003E-3</v>
      </c>
      <c r="AH189" s="58"/>
      <c r="AI189" s="111">
        <v>9.6577999999999999</v>
      </c>
      <c r="AJ189" s="59">
        <v>2.3E-2</v>
      </c>
      <c r="AK189" s="60">
        <v>9.2999999999999999E-2</v>
      </c>
      <c r="AL189" s="59">
        <f t="shared" si="154"/>
        <v>9.6577999999999999</v>
      </c>
      <c r="AM189" s="59">
        <f t="shared" si="155"/>
        <v>2.3E-2</v>
      </c>
      <c r="AN189" s="60">
        <f t="shared" si="156"/>
        <v>9.2999999999999999E-2</v>
      </c>
    </row>
    <row r="190" spans="1:40" s="17" customFormat="1" x14ac:dyDescent="0.35">
      <c r="A190" s="16"/>
      <c r="B190" s="17">
        <v>205</v>
      </c>
      <c r="C190" s="45">
        <v>43426</v>
      </c>
      <c r="D190" s="17" t="s">
        <v>124</v>
      </c>
      <c r="F190" s="17">
        <v>899</v>
      </c>
      <c r="G190" s="17">
        <v>3</v>
      </c>
      <c r="H190" s="17">
        <v>160</v>
      </c>
      <c r="I190" s="17">
        <v>1</v>
      </c>
      <c r="J190" s="17">
        <v>5000</v>
      </c>
      <c r="K190" s="17">
        <v>65</v>
      </c>
      <c r="L190" s="17">
        <v>1</v>
      </c>
      <c r="M190" s="17">
        <f>(155+182+167+183.5+160+174)-(145.5+173+141.5+172+173+151.5)</f>
        <v>65</v>
      </c>
      <c r="R190" s="17">
        <f t="shared" si="148"/>
        <v>0.43281744379482617</v>
      </c>
      <c r="S190" s="17">
        <f t="shared" si="149"/>
        <v>181.74192646442052</v>
      </c>
      <c r="T190" s="17">
        <f t="shared" si="150"/>
        <v>44.946928050340567</v>
      </c>
      <c r="U190" s="91">
        <f t="shared" si="160"/>
        <v>0.98629087369794355</v>
      </c>
      <c r="V190" s="91">
        <f t="shared" si="161"/>
        <v>1</v>
      </c>
      <c r="W190" s="91">
        <f t="shared" si="162"/>
        <v>0.93333333333333335</v>
      </c>
      <c r="X190" s="17">
        <v>1555</v>
      </c>
      <c r="Y190" s="17">
        <v>1321</v>
      </c>
      <c r="Z190" s="93">
        <f t="shared" si="163"/>
        <v>0.15048231511254018</v>
      </c>
      <c r="AA190" s="16"/>
      <c r="AB190" s="17">
        <v>0.13239999999999999</v>
      </c>
      <c r="AC190" s="17">
        <v>0</v>
      </c>
      <c r="AD190" s="21">
        <v>6.1999999999999998E-3</v>
      </c>
      <c r="AE190" s="16">
        <f t="shared" si="157"/>
        <v>0.13239999999999999</v>
      </c>
      <c r="AF190" s="17" t="str">
        <f t="shared" si="158"/>
        <v>-</v>
      </c>
      <c r="AG190" s="21">
        <f t="shared" si="159"/>
        <v>6.1999999999999998E-3</v>
      </c>
      <c r="AH190" s="16"/>
      <c r="AI190" s="112">
        <v>9.6577999999999999</v>
      </c>
      <c r="AJ190" s="17">
        <v>2.3E-2</v>
      </c>
      <c r="AK190" s="21">
        <v>9.2999999999999999E-2</v>
      </c>
      <c r="AL190" s="17">
        <f t="shared" si="154"/>
        <v>9.6577999999999999</v>
      </c>
      <c r="AM190" s="17">
        <f t="shared" si="155"/>
        <v>2.3E-2</v>
      </c>
      <c r="AN190" s="21">
        <f t="shared" si="156"/>
        <v>9.2999999999999999E-2</v>
      </c>
    </row>
    <row r="191" spans="1:40" s="17" customFormat="1" x14ac:dyDescent="0.35">
      <c r="A191" s="16"/>
      <c r="B191" s="17">
        <v>206</v>
      </c>
      <c r="C191" s="45">
        <v>43427</v>
      </c>
      <c r="D191" s="17" t="s">
        <v>124</v>
      </c>
      <c r="F191" s="17">
        <v>899</v>
      </c>
      <c r="G191" s="17">
        <v>5</v>
      </c>
      <c r="H191" s="17">
        <v>140</v>
      </c>
      <c r="I191" s="17">
        <v>1</v>
      </c>
      <c r="J191" s="17">
        <v>5000</v>
      </c>
      <c r="K191" s="17">
        <v>65</v>
      </c>
      <c r="L191" s="17">
        <v>1</v>
      </c>
      <c r="M191" s="17">
        <f>(159+175+165+164)-(132.5+174+134.5+134)</f>
        <v>88</v>
      </c>
      <c r="R191" s="17">
        <f t="shared" si="148"/>
        <v>0.57963142502333143</v>
      </c>
      <c r="S191" s="17">
        <f t="shared" si="149"/>
        <v>243.38975550392743</v>
      </c>
      <c r="T191" s="17">
        <f t="shared" si="150"/>
        <v>60.193165339680981</v>
      </c>
      <c r="U191" s="91">
        <f t="shared" si="160"/>
        <v>0.96530265691979533</v>
      </c>
      <c r="V191" s="91">
        <f t="shared" si="161"/>
        <v>1</v>
      </c>
      <c r="W191" s="91">
        <f t="shared" si="162"/>
        <v>0.95053763440860217</v>
      </c>
      <c r="X191" s="17">
        <v>1572</v>
      </c>
      <c r="Y191" s="17">
        <v>1359</v>
      </c>
      <c r="Z191" s="93">
        <f t="shared" si="163"/>
        <v>0.1354961832061069</v>
      </c>
      <c r="AA191" s="16"/>
      <c r="AB191" s="17">
        <v>0.33510000000000001</v>
      </c>
      <c r="AC191" s="17">
        <v>0</v>
      </c>
      <c r="AD191" s="21">
        <v>4.5999999999999999E-3</v>
      </c>
      <c r="AE191" s="16">
        <f t="shared" si="157"/>
        <v>0.33510000000000001</v>
      </c>
      <c r="AF191" s="17" t="str">
        <f t="shared" si="158"/>
        <v>-</v>
      </c>
      <c r="AG191" s="21">
        <f t="shared" si="159"/>
        <v>4.5999999999999999E-3</v>
      </c>
      <c r="AH191" s="16"/>
      <c r="AI191" s="112">
        <v>9.6577999999999999</v>
      </c>
      <c r="AJ191" s="17">
        <v>2.3E-2</v>
      </c>
      <c r="AK191" s="21">
        <v>9.2999999999999999E-2</v>
      </c>
      <c r="AL191" s="17">
        <f t="shared" si="154"/>
        <v>9.6577999999999999</v>
      </c>
      <c r="AM191" s="17">
        <f t="shared" si="155"/>
        <v>2.3E-2</v>
      </c>
      <c r="AN191" s="21">
        <f t="shared" si="156"/>
        <v>9.2999999999999999E-2</v>
      </c>
    </row>
    <row r="192" spans="1:40" s="64" customFormat="1" ht="15" thickBot="1" x14ac:dyDescent="0.4">
      <c r="A192" s="63"/>
      <c r="B192" s="64">
        <v>207</v>
      </c>
      <c r="C192" s="70">
        <v>43427</v>
      </c>
      <c r="D192" s="64" t="s">
        <v>124</v>
      </c>
      <c r="F192" s="64">
        <v>899</v>
      </c>
      <c r="G192" s="64">
        <v>6</v>
      </c>
      <c r="H192" s="64">
        <v>140</v>
      </c>
      <c r="I192" s="64">
        <v>2</v>
      </c>
      <c r="J192" s="64">
        <v>5000</v>
      </c>
      <c r="K192" s="64">
        <v>65</v>
      </c>
      <c r="L192" s="64">
        <v>1</v>
      </c>
      <c r="M192" s="64">
        <f>(154+177+144+155.5)-(154+148+119.5+128)</f>
        <v>81</v>
      </c>
      <c r="R192" s="64">
        <f t="shared" si="148"/>
        <v>0.62195055626681872</v>
      </c>
      <c r="S192" s="64">
        <f t="shared" si="149"/>
        <v>261.15974270929053</v>
      </c>
      <c r="T192" s="64">
        <f t="shared" si="150"/>
        <v>64.58789335821163</v>
      </c>
      <c r="U192" s="96">
        <f t="shared" si="160"/>
        <v>0.98639441694795926</v>
      </c>
      <c r="V192" s="96">
        <f t="shared" si="161"/>
        <v>1</v>
      </c>
      <c r="W192" s="96">
        <f t="shared" si="162"/>
        <v>0.95483870967741935</v>
      </c>
      <c r="X192" s="64">
        <v>1348.5</v>
      </c>
      <c r="Y192" s="64">
        <v>1149</v>
      </c>
      <c r="Z192" s="94">
        <f t="shared" si="163"/>
        <v>0.14794215795328147</v>
      </c>
      <c r="AA192" s="63"/>
      <c r="AB192" s="64">
        <v>0.13139999999999999</v>
      </c>
      <c r="AC192" s="64">
        <v>0</v>
      </c>
      <c r="AD192" s="65">
        <v>4.1999999999999997E-3</v>
      </c>
      <c r="AE192" s="63">
        <f t="shared" si="157"/>
        <v>0.13139999999999999</v>
      </c>
      <c r="AF192" s="64" t="str">
        <f t="shared" si="158"/>
        <v>-</v>
      </c>
      <c r="AG192" s="65">
        <f t="shared" si="159"/>
        <v>4.1999999999999997E-3</v>
      </c>
      <c r="AH192" s="63"/>
      <c r="AI192" s="113">
        <v>9.6577999999999999</v>
      </c>
      <c r="AJ192" s="64">
        <v>2.3E-2</v>
      </c>
      <c r="AK192" s="65">
        <v>9.2999999999999999E-2</v>
      </c>
      <c r="AL192" s="64">
        <f t="shared" si="154"/>
        <v>9.6577999999999999</v>
      </c>
      <c r="AM192" s="64">
        <f t="shared" si="155"/>
        <v>2.3E-2</v>
      </c>
      <c r="AN192" s="65">
        <f t="shared" si="156"/>
        <v>9.2999999999999999E-2</v>
      </c>
    </row>
    <row r="193" spans="1:72" s="17" customFormat="1" ht="15" thickTop="1" x14ac:dyDescent="0.35">
      <c r="B193" s="17">
        <v>208</v>
      </c>
      <c r="C193" s="38" t="s">
        <v>141</v>
      </c>
      <c r="D193" s="17" t="s">
        <v>63</v>
      </c>
      <c r="F193" s="17">
        <v>903</v>
      </c>
      <c r="G193" s="17">
        <v>1</v>
      </c>
      <c r="H193" s="17">
        <v>145</v>
      </c>
      <c r="I193" s="17">
        <v>1</v>
      </c>
      <c r="J193" s="17">
        <v>5000</v>
      </c>
      <c r="K193" s="17">
        <v>65</v>
      </c>
      <c r="L193" s="17">
        <v>1</v>
      </c>
      <c r="M193" s="17">
        <f>(156.5 + 175 + 142 + 170.5)-( 130+148+136.5+147.5 )</f>
        <v>82</v>
      </c>
      <c r="R193" s="17">
        <f t="shared" si="148"/>
        <v>0.64065650228144821</v>
      </c>
      <c r="S193" s="17">
        <f t="shared" si="149"/>
        <v>241.4249963197409</v>
      </c>
      <c r="T193" s="17">
        <f t="shared" si="150"/>
        <v>23.856224932780723</v>
      </c>
      <c r="U193" s="91">
        <f t="shared" si="160"/>
        <v>0.97884513321303479</v>
      </c>
      <c r="V193" s="91">
        <f t="shared" si="161"/>
        <v>1</v>
      </c>
      <c r="W193" s="91">
        <f t="shared" si="162"/>
        <v>0.94664031620553357</v>
      </c>
      <c r="X193" s="17">
        <v>1358.6</v>
      </c>
      <c r="Y193" s="17">
        <v>1155</v>
      </c>
      <c r="Z193" s="93">
        <f t="shared" si="163"/>
        <v>0.14986015015457077</v>
      </c>
      <c r="AA193" s="16"/>
      <c r="AB193" s="17">
        <v>0.1993</v>
      </c>
      <c r="AC193" s="17">
        <v>0</v>
      </c>
      <c r="AD193" s="21">
        <v>1.35E-2</v>
      </c>
      <c r="AE193" s="16">
        <f t="shared" si="157"/>
        <v>0.1993</v>
      </c>
      <c r="AF193" s="17" t="str">
        <f t="shared" si="158"/>
        <v>-</v>
      </c>
      <c r="AG193" s="21">
        <f t="shared" si="159"/>
        <v>1.35E-2</v>
      </c>
      <c r="AH193" s="16"/>
      <c r="AI193" s="115">
        <v>9.4209999999999994</v>
      </c>
      <c r="AJ193" s="17">
        <v>2.5000000000000001E-2</v>
      </c>
      <c r="AK193" s="21">
        <v>0.253</v>
      </c>
      <c r="AL193" s="17">
        <f t="shared" si="154"/>
        <v>9.4209999999999994</v>
      </c>
      <c r="AM193" s="17">
        <f t="shared" si="155"/>
        <v>2.5000000000000001E-2</v>
      </c>
      <c r="AN193" s="21">
        <f t="shared" si="156"/>
        <v>0.253</v>
      </c>
    </row>
    <row r="194" spans="1:72" s="17" customFormat="1" x14ac:dyDescent="0.35">
      <c r="B194" s="17">
        <v>209</v>
      </c>
      <c r="C194" s="38" t="s">
        <v>142</v>
      </c>
      <c r="D194" s="17" t="s">
        <v>63</v>
      </c>
      <c r="F194" s="17">
        <v>903</v>
      </c>
      <c r="G194" s="17">
        <v>2</v>
      </c>
      <c r="H194" s="17">
        <v>180</v>
      </c>
      <c r="I194" s="17">
        <v>2</v>
      </c>
      <c r="J194" s="17">
        <v>5000</v>
      </c>
      <c r="K194" s="17">
        <v>65</v>
      </c>
      <c r="L194" s="17">
        <v>1</v>
      </c>
      <c r="M194" s="17">
        <f>(153.5+170+156+185)-(123.5+136+155+181)</f>
        <v>69</v>
      </c>
      <c r="R194" s="17">
        <f t="shared" si="148"/>
        <v>0.54738888362655136</v>
      </c>
      <c r="S194" s="17">
        <f t="shared" si="149"/>
        <v>206.27802690582959</v>
      </c>
      <c r="T194" s="17">
        <f t="shared" si="150"/>
        <v>20.38320423970648</v>
      </c>
      <c r="U194" s="91">
        <f t="shared" si="160"/>
        <v>0.99203906167073563</v>
      </c>
      <c r="V194" s="91">
        <f t="shared" si="161"/>
        <v>1</v>
      </c>
      <c r="W194" s="91">
        <f t="shared" si="162"/>
        <v>0.96877470355731232</v>
      </c>
      <c r="X194" s="17">
        <v>1338</v>
      </c>
      <c r="Y194" s="17">
        <v>1146</v>
      </c>
      <c r="Z194" s="93">
        <f t="shared" si="163"/>
        <v>0.1434977578475336</v>
      </c>
      <c r="AA194" s="16"/>
      <c r="AB194" s="110">
        <v>7.4999999999999997E-2</v>
      </c>
      <c r="AC194" s="17">
        <v>0</v>
      </c>
      <c r="AD194" s="21">
        <v>7.9000000000000008E-3</v>
      </c>
      <c r="AE194" s="16">
        <f t="shared" si="157"/>
        <v>7.4999999999999997E-2</v>
      </c>
      <c r="AF194" s="17" t="str">
        <f t="shared" si="158"/>
        <v>-</v>
      </c>
      <c r="AG194" s="21">
        <f t="shared" si="159"/>
        <v>7.9000000000000008E-3</v>
      </c>
      <c r="AH194" s="16"/>
      <c r="AI194" s="115">
        <v>9.4209999999999994</v>
      </c>
      <c r="AJ194" s="17">
        <v>2.5000000000000001E-2</v>
      </c>
      <c r="AK194" s="21">
        <v>0.253</v>
      </c>
      <c r="AL194" s="17">
        <f t="shared" si="154"/>
        <v>9.4209999999999994</v>
      </c>
      <c r="AM194" s="17">
        <f t="shared" si="155"/>
        <v>2.5000000000000001E-2</v>
      </c>
      <c r="AN194" s="21">
        <f t="shared" si="156"/>
        <v>0.253</v>
      </c>
    </row>
    <row r="195" spans="1:72" s="17" customFormat="1" x14ac:dyDescent="0.35">
      <c r="B195" s="17">
        <v>210</v>
      </c>
      <c r="C195" s="45">
        <v>43432</v>
      </c>
      <c r="D195" s="17" t="s">
        <v>63</v>
      </c>
      <c r="F195" s="17">
        <v>903</v>
      </c>
      <c r="G195" s="17">
        <v>5</v>
      </c>
      <c r="H195" s="17">
        <v>110</v>
      </c>
      <c r="I195" s="17">
        <v>1</v>
      </c>
      <c r="J195" s="17">
        <v>5000</v>
      </c>
      <c r="K195" s="17">
        <v>65</v>
      </c>
      <c r="L195" s="17">
        <v>1</v>
      </c>
      <c r="M195" s="17">
        <f>(130+150+141+176.5)-(114.5+129.5+127.5+161)</f>
        <v>65</v>
      </c>
      <c r="R195" s="17">
        <f t="shared" si="148"/>
        <v>0.53986540574041386</v>
      </c>
      <c r="S195" s="17">
        <f t="shared" si="149"/>
        <v>203.44287949921753</v>
      </c>
      <c r="T195" s="17">
        <f t="shared" si="150"/>
        <v>20.103051333914774</v>
      </c>
      <c r="U195" s="91">
        <f t="shared" si="160"/>
        <v>0.99072285320029718</v>
      </c>
      <c r="V195" s="91">
        <f t="shared" si="161"/>
        <v>1</v>
      </c>
      <c r="W195" s="91">
        <f t="shared" si="162"/>
        <v>0.97826086956521741</v>
      </c>
      <c r="X195" s="17">
        <v>1278</v>
      </c>
      <c r="Y195" s="17">
        <v>1104</v>
      </c>
      <c r="Z195" s="93">
        <f t="shared" si="163"/>
        <v>0.136150234741784</v>
      </c>
      <c r="AA195" s="16"/>
      <c r="AB195" s="17">
        <v>8.7400000000000005E-2</v>
      </c>
      <c r="AC195" s="17">
        <v>0</v>
      </c>
      <c r="AD195" s="21">
        <v>5.4999999999999997E-3</v>
      </c>
      <c r="AE195" s="16">
        <f t="shared" si="157"/>
        <v>8.7400000000000005E-2</v>
      </c>
      <c r="AF195" s="17" t="str">
        <f t="shared" si="158"/>
        <v>-</v>
      </c>
      <c r="AG195" s="21">
        <f t="shared" si="159"/>
        <v>5.4999999999999997E-3</v>
      </c>
      <c r="AH195" s="16"/>
      <c r="AI195" s="115">
        <v>9.4209999999999994</v>
      </c>
      <c r="AJ195" s="17">
        <v>2.5000000000000001E-2</v>
      </c>
      <c r="AK195" s="21">
        <v>0.253</v>
      </c>
      <c r="AL195" s="17">
        <f t="shared" si="154"/>
        <v>9.4209999999999994</v>
      </c>
      <c r="AM195" s="17">
        <f t="shared" si="155"/>
        <v>2.5000000000000001E-2</v>
      </c>
      <c r="AN195" s="21">
        <f t="shared" si="156"/>
        <v>0.253</v>
      </c>
    </row>
    <row r="196" spans="1:72" s="17" customFormat="1" x14ac:dyDescent="0.35">
      <c r="B196" s="17">
        <v>211</v>
      </c>
      <c r="C196" s="38" t="s">
        <v>143</v>
      </c>
      <c r="D196" s="17" t="s">
        <v>63</v>
      </c>
      <c r="F196" s="17">
        <v>903</v>
      </c>
      <c r="G196" s="17">
        <v>6</v>
      </c>
      <c r="H196" s="17">
        <v>110</v>
      </c>
      <c r="I196" s="17">
        <v>2</v>
      </c>
      <c r="J196" s="17">
        <v>5000</v>
      </c>
      <c r="K196" s="17">
        <v>65</v>
      </c>
      <c r="L196" s="17">
        <v>1</v>
      </c>
      <c r="M196" s="17">
        <f>(153+166+127+161)-(137.5+149.5+112+144.5)</f>
        <v>63.5</v>
      </c>
      <c r="R196" s="17">
        <f t="shared" si="148"/>
        <v>0.57707715058023978</v>
      </c>
      <c r="S196" s="17">
        <f t="shared" si="149"/>
        <v>217.46575342465755</v>
      </c>
      <c r="T196" s="17">
        <f t="shared" si="150"/>
        <v>21.488710812713194</v>
      </c>
      <c r="U196" s="91">
        <f t="shared" si="160"/>
        <v>0.98292113363761813</v>
      </c>
      <c r="V196" s="91">
        <f t="shared" si="161"/>
        <v>0.88</v>
      </c>
      <c r="W196" s="91">
        <f t="shared" si="162"/>
        <v>0.95573122529644272</v>
      </c>
      <c r="X196" s="17">
        <v>1168</v>
      </c>
      <c r="Y196" s="17">
        <v>1003.5</v>
      </c>
      <c r="Z196" s="93">
        <f t="shared" si="163"/>
        <v>0.1408390410958904</v>
      </c>
      <c r="AA196" s="16"/>
      <c r="AB196" s="17">
        <v>0.16089999999999999</v>
      </c>
      <c r="AC196" s="110">
        <v>3.0000000000000001E-3</v>
      </c>
      <c r="AD196" s="21">
        <v>1.12E-2</v>
      </c>
      <c r="AE196" s="16">
        <f t="shared" si="157"/>
        <v>0.16089999999999999</v>
      </c>
      <c r="AF196" s="17">
        <f t="shared" si="158"/>
        <v>3.0000000000000001E-3</v>
      </c>
      <c r="AG196" s="21">
        <f t="shared" si="159"/>
        <v>1.12E-2</v>
      </c>
      <c r="AH196" s="16"/>
      <c r="AI196" s="115">
        <v>9.4209999999999994</v>
      </c>
      <c r="AJ196" s="17">
        <v>2.5000000000000001E-2</v>
      </c>
      <c r="AK196" s="21">
        <v>0.253</v>
      </c>
      <c r="AL196" s="17">
        <f t="shared" si="154"/>
        <v>9.4209999999999994</v>
      </c>
      <c r="AM196" s="17">
        <f t="shared" si="155"/>
        <v>2.5000000000000001E-2</v>
      </c>
      <c r="AN196" s="21">
        <f t="shared" si="156"/>
        <v>0.253</v>
      </c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</row>
    <row r="197" spans="1:72" s="17" customFormat="1" ht="15" thickBot="1" x14ac:dyDescent="0.4">
      <c r="B197" s="17">
        <v>212</v>
      </c>
      <c r="C197" s="38" t="s">
        <v>143</v>
      </c>
      <c r="D197" s="17" t="s">
        <v>63</v>
      </c>
      <c r="F197" s="17">
        <v>903</v>
      </c>
      <c r="G197" s="17">
        <v>7</v>
      </c>
      <c r="H197" s="17">
        <v>110</v>
      </c>
      <c r="I197" s="17">
        <v>1</v>
      </c>
      <c r="J197" s="17">
        <v>5000</v>
      </c>
      <c r="K197" s="17">
        <v>65</v>
      </c>
      <c r="L197" s="17">
        <v>1</v>
      </c>
      <c r="M197" s="17">
        <f>(137.5+149.5+167+169.5)-(125.5+137.5+159+141.5)</f>
        <v>60</v>
      </c>
      <c r="R197" s="17">
        <f t="shared" ref="R197:R243" si="164">IF(AND(X197&lt;&gt;0,AI197&lt;&gt;0,$M197&lt;&gt;0),$M197/($X197*(AI197/100)),"")</f>
        <v>0.5511683828136329</v>
      </c>
      <c r="S197" s="17">
        <f t="shared" ref="S197:S243" si="165">IF(AND(Y197&lt;&gt;0,AJ197&lt;&gt;0,$M197&lt;&gt;0),$M197/($X197*(AJ197/100)),"")</f>
        <v>207.70229337948939</v>
      </c>
      <c r="T197" s="17">
        <f t="shared" ref="T197:T243" si="166">IF(AND(Z197&lt;&gt;0,AK197&lt;&gt;0,$M197&lt;&gt;0),$M197/($X197*(AK197/100)),"")</f>
        <v>20.52394203354638</v>
      </c>
      <c r="U197" s="91">
        <f t="shared" si="160"/>
        <v>0.99338711389449097</v>
      </c>
      <c r="V197" s="91">
        <f t="shared" si="161"/>
        <v>1</v>
      </c>
      <c r="W197" s="91">
        <f t="shared" si="162"/>
        <v>0.98498023715415017</v>
      </c>
      <c r="X197" s="17">
        <v>1155.5</v>
      </c>
      <c r="Y197" s="17">
        <v>992</v>
      </c>
      <c r="Z197" s="93">
        <f t="shared" si="163"/>
        <v>0.14149718736477712</v>
      </c>
      <c r="AA197" s="16"/>
      <c r="AB197" s="17">
        <v>6.2300000000000001E-2</v>
      </c>
      <c r="AC197" s="17">
        <v>0</v>
      </c>
      <c r="AD197" s="21">
        <v>3.8E-3</v>
      </c>
      <c r="AE197" s="16">
        <f t="shared" si="157"/>
        <v>6.2300000000000001E-2</v>
      </c>
      <c r="AF197" s="17" t="str">
        <f t="shared" si="158"/>
        <v>-</v>
      </c>
      <c r="AG197" s="21">
        <f t="shared" si="159"/>
        <v>3.8E-3</v>
      </c>
      <c r="AH197" s="16"/>
      <c r="AI197" s="115">
        <v>9.4209999999999994</v>
      </c>
      <c r="AJ197" s="17">
        <v>2.5000000000000001E-2</v>
      </c>
      <c r="AK197" s="21">
        <v>0.253</v>
      </c>
      <c r="AL197" s="17">
        <f t="shared" si="154"/>
        <v>9.4209999999999994</v>
      </c>
      <c r="AM197" s="17">
        <f t="shared" si="155"/>
        <v>2.5000000000000001E-2</v>
      </c>
      <c r="AN197" s="21">
        <f t="shared" si="156"/>
        <v>0.253</v>
      </c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</row>
    <row r="198" spans="1:72" s="59" customFormat="1" ht="15" thickTop="1" x14ac:dyDescent="0.35">
      <c r="A198" s="58"/>
      <c r="B198" s="59">
        <v>213</v>
      </c>
      <c r="C198" s="71" t="s">
        <v>144</v>
      </c>
      <c r="D198" s="59" t="s">
        <v>90</v>
      </c>
      <c r="F198" s="59">
        <v>931</v>
      </c>
      <c r="G198" s="59">
        <v>1</v>
      </c>
      <c r="H198" s="59">
        <v>120</v>
      </c>
      <c r="I198" s="59">
        <v>1</v>
      </c>
      <c r="J198" s="59">
        <v>5000</v>
      </c>
      <c r="K198" s="59">
        <v>65</v>
      </c>
      <c r="L198" s="59">
        <v>0</v>
      </c>
      <c r="M198" s="59">
        <f>159+162.5-132.5-133.5</f>
        <v>55.5</v>
      </c>
      <c r="Q198" s="59" t="s">
        <v>63</v>
      </c>
      <c r="R198" s="59">
        <f t="shared" si="164"/>
        <v>0.41188577672696192</v>
      </c>
      <c r="S198" s="59">
        <f t="shared" si="165"/>
        <v>40.796074756050501</v>
      </c>
      <c r="T198" s="59">
        <f t="shared" si="166"/>
        <v>157.6211979211042</v>
      </c>
      <c r="U198" s="95">
        <f t="shared" si="160"/>
        <v>0.96516213326998457</v>
      </c>
      <c r="V198" s="95">
        <f t="shared" si="161"/>
        <v>1</v>
      </c>
      <c r="W198" s="95">
        <f t="shared" si="162"/>
        <v>0.64090909090909087</v>
      </c>
      <c r="X198" s="59">
        <v>1600.5</v>
      </c>
      <c r="Y198" s="59">
        <v>1380.5</v>
      </c>
      <c r="Z198" s="92">
        <f t="shared" si="163"/>
        <v>0.13745704467353947</v>
      </c>
      <c r="AA198" s="58"/>
      <c r="AB198" s="59">
        <v>0.29330000000000001</v>
      </c>
      <c r="AC198" s="59">
        <v>0</v>
      </c>
      <c r="AD198" s="60">
        <v>7.9000000000000008E-3</v>
      </c>
      <c r="AE198" s="58">
        <f t="shared" si="157"/>
        <v>0.29330000000000001</v>
      </c>
      <c r="AF198" s="59" t="str">
        <f t="shared" si="158"/>
        <v>-</v>
      </c>
      <c r="AG198" s="60">
        <f t="shared" si="159"/>
        <v>7.9000000000000008E-3</v>
      </c>
      <c r="AH198" s="58"/>
      <c r="AI198" s="114">
        <v>8.4190000000000005</v>
      </c>
      <c r="AJ198" s="59">
        <v>8.5000000000000006E-2</v>
      </c>
      <c r="AK198" s="60">
        <v>2.1999999999999999E-2</v>
      </c>
      <c r="AL198" s="59">
        <f t="shared" si="154"/>
        <v>8.4190000000000005</v>
      </c>
      <c r="AM198" s="59">
        <f t="shared" si="155"/>
        <v>8.5000000000000006E-2</v>
      </c>
      <c r="AN198" s="60">
        <f t="shared" si="156"/>
        <v>2.1999999999999999E-2</v>
      </c>
      <c r="AO198" s="107"/>
      <c r="AP198" s="107"/>
      <c r="AQ198" s="107"/>
      <c r="AR198" s="107"/>
      <c r="AS198" s="107"/>
      <c r="AT198" s="107"/>
      <c r="AU198" s="107"/>
      <c r="AV198" s="107"/>
      <c r="AW198" s="107"/>
      <c r="AX198" s="107"/>
      <c r="AY198" s="107"/>
      <c r="AZ198" s="107"/>
      <c r="BA198" s="107"/>
      <c r="BB198" s="107"/>
      <c r="BC198" s="107"/>
      <c r="BD198" s="107"/>
      <c r="BE198" s="107"/>
      <c r="BF198" s="107"/>
      <c r="BG198" s="107"/>
      <c r="BH198" s="107"/>
      <c r="BI198" s="107"/>
      <c r="BJ198" s="107"/>
      <c r="BK198" s="107"/>
      <c r="BL198" s="107"/>
      <c r="BM198" s="107"/>
      <c r="BN198" s="107"/>
      <c r="BO198" s="107"/>
      <c r="BP198" s="107"/>
      <c r="BQ198" s="107"/>
      <c r="BR198" s="107"/>
      <c r="BS198" s="107"/>
      <c r="BT198" s="107"/>
    </row>
    <row r="199" spans="1:72" s="17" customFormat="1" x14ac:dyDescent="0.35">
      <c r="A199" s="16"/>
      <c r="B199" s="17">
        <v>214</v>
      </c>
      <c r="C199" s="38" t="s">
        <v>144</v>
      </c>
      <c r="D199" s="17" t="s">
        <v>90</v>
      </c>
      <c r="F199" s="17">
        <v>931</v>
      </c>
      <c r="G199" s="17">
        <v>2</v>
      </c>
      <c r="H199" s="17">
        <v>110</v>
      </c>
      <c r="I199" s="17">
        <v>2</v>
      </c>
      <c r="J199" s="17">
        <v>5000</v>
      </c>
      <c r="K199" s="17">
        <v>65</v>
      </c>
      <c r="L199" s="17">
        <v>0</v>
      </c>
      <c r="M199" s="17">
        <f>(160 + 177 + 125.5 + 160)-(138.5+155.5+119.5+152)</f>
        <v>57</v>
      </c>
      <c r="Q199" s="17" t="s">
        <v>63</v>
      </c>
      <c r="R199" s="17">
        <f t="shared" si="164"/>
        <v>0.44659632487265738</v>
      </c>
      <c r="S199" s="17">
        <f t="shared" si="165"/>
        <v>44.234052460034142</v>
      </c>
      <c r="T199" s="17">
        <f t="shared" si="166"/>
        <v>170.90429359558647</v>
      </c>
      <c r="U199" s="91">
        <f t="shared" si="160"/>
        <v>0.95475709704240408</v>
      </c>
      <c r="V199" s="91">
        <f t="shared" si="161"/>
        <v>1</v>
      </c>
      <c r="W199" s="91">
        <f t="shared" si="162"/>
        <v>1</v>
      </c>
      <c r="X199" s="17">
        <v>1516</v>
      </c>
      <c r="Y199" s="17">
        <v>1299</v>
      </c>
      <c r="Z199" s="93">
        <f t="shared" si="163"/>
        <v>0.14313984168865435</v>
      </c>
      <c r="AA199" s="16"/>
      <c r="AB199" s="17">
        <v>0.38090000000000002</v>
      </c>
      <c r="AC199" s="17">
        <v>0</v>
      </c>
      <c r="AD199" s="21">
        <v>0</v>
      </c>
      <c r="AE199" s="16">
        <f t="shared" si="157"/>
        <v>0.38090000000000002</v>
      </c>
      <c r="AF199" s="17" t="str">
        <f t="shared" si="158"/>
        <v>-</v>
      </c>
      <c r="AG199" s="21" t="str">
        <f t="shared" si="159"/>
        <v>-</v>
      </c>
      <c r="AH199" s="16"/>
      <c r="AI199" s="115">
        <v>8.4190000000000005</v>
      </c>
      <c r="AJ199" s="17">
        <v>8.5000000000000006E-2</v>
      </c>
      <c r="AK199" s="21">
        <v>2.1999999999999999E-2</v>
      </c>
      <c r="AL199" s="17">
        <f t="shared" si="154"/>
        <v>8.4190000000000005</v>
      </c>
      <c r="AM199" s="17">
        <f t="shared" si="155"/>
        <v>8.5000000000000006E-2</v>
      </c>
      <c r="AN199" s="21">
        <f t="shared" si="156"/>
        <v>2.1999999999999999E-2</v>
      </c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</row>
    <row r="200" spans="1:72" s="17" customFormat="1" x14ac:dyDescent="0.35">
      <c r="A200" s="16"/>
      <c r="B200" s="17">
        <v>214</v>
      </c>
      <c r="C200" s="38" t="s">
        <v>145</v>
      </c>
      <c r="D200" s="17" t="s">
        <v>90</v>
      </c>
      <c r="F200" s="17">
        <v>931</v>
      </c>
      <c r="G200" s="17">
        <v>3</v>
      </c>
      <c r="H200" s="17">
        <v>110</v>
      </c>
      <c r="I200" s="17">
        <v>1</v>
      </c>
      <c r="J200" s="17">
        <v>5000</v>
      </c>
      <c r="K200" s="17">
        <v>65</v>
      </c>
      <c r="L200" s="17">
        <v>1</v>
      </c>
      <c r="M200" s="17">
        <f>(138.5+156+119.5+151.5)-(128.5+151+100.5+131)</f>
        <v>54.5</v>
      </c>
      <c r="Q200" s="17" t="s">
        <v>63</v>
      </c>
      <c r="R200" s="17">
        <f t="shared" si="164"/>
        <v>0.45781137935964533</v>
      </c>
      <c r="S200" s="17">
        <f t="shared" si="165"/>
        <v>45.344870621515923</v>
      </c>
      <c r="T200" s="17">
        <f t="shared" si="166"/>
        <v>175.19609103767522</v>
      </c>
      <c r="U200" s="91">
        <f t="shared" si="160"/>
        <v>0.95160945480460868</v>
      </c>
      <c r="V200" s="91">
        <f t="shared" si="161"/>
        <v>1</v>
      </c>
      <c r="W200" s="91">
        <f t="shared" si="162"/>
        <v>0.57727272727272727</v>
      </c>
      <c r="X200" s="17">
        <v>1414</v>
      </c>
      <c r="Y200" s="17">
        <v>1257.5</v>
      </c>
      <c r="Z200" s="93">
        <f t="shared" si="163"/>
        <v>0.1106789250353607</v>
      </c>
      <c r="AA200" s="16"/>
      <c r="AB200" s="17">
        <v>0.40739999999999998</v>
      </c>
      <c r="AC200" s="17">
        <v>0</v>
      </c>
      <c r="AD200" s="21">
        <v>9.2999999999999992E-3</v>
      </c>
      <c r="AE200" s="16">
        <f t="shared" si="157"/>
        <v>0.40739999999999998</v>
      </c>
      <c r="AF200" s="17" t="str">
        <f t="shared" si="158"/>
        <v>-</v>
      </c>
      <c r="AG200" s="21">
        <f t="shared" si="159"/>
        <v>9.2999999999999992E-3</v>
      </c>
      <c r="AH200" s="16"/>
      <c r="AI200" s="115">
        <v>8.4190000000000005</v>
      </c>
      <c r="AJ200" s="17">
        <v>8.5000000000000006E-2</v>
      </c>
      <c r="AK200" s="21">
        <v>2.1999999999999999E-2</v>
      </c>
      <c r="AL200" s="17">
        <f t="shared" si="154"/>
        <v>8.4190000000000005</v>
      </c>
      <c r="AM200" s="17">
        <f t="shared" si="155"/>
        <v>8.5000000000000006E-2</v>
      </c>
      <c r="AN200" s="21">
        <f t="shared" si="156"/>
        <v>2.1999999999999999E-2</v>
      </c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</row>
    <row r="201" spans="1:72" s="17" customFormat="1" x14ac:dyDescent="0.35">
      <c r="A201" s="16"/>
      <c r="B201" s="17">
        <v>215</v>
      </c>
      <c r="C201" s="38" t="s">
        <v>145</v>
      </c>
      <c r="D201" s="17" t="s">
        <v>90</v>
      </c>
      <c r="F201" s="17">
        <v>931</v>
      </c>
      <c r="G201" s="17">
        <v>4</v>
      </c>
      <c r="H201" s="17">
        <v>105</v>
      </c>
      <c r="I201" s="17">
        <v>2</v>
      </c>
      <c r="J201" s="17">
        <v>5000</v>
      </c>
      <c r="K201" s="17">
        <v>65</v>
      </c>
      <c r="L201" s="17">
        <v>1</v>
      </c>
      <c r="M201" s="17">
        <f>(159.5+163.5+100+131)-(135+137+97+128)</f>
        <v>57</v>
      </c>
      <c r="Q201" s="17" t="s">
        <v>63</v>
      </c>
      <c r="R201" s="17">
        <f t="shared" si="164"/>
        <v>0.44586106585903756</v>
      </c>
      <c r="S201" s="17">
        <f t="shared" si="165"/>
        <v>44.161227217261612</v>
      </c>
      <c r="T201" s="17">
        <f t="shared" si="166"/>
        <v>170.62292333941988</v>
      </c>
      <c r="U201" s="91">
        <f t="shared" si="160"/>
        <v>0.96516213326998457</v>
      </c>
      <c r="V201" s="91">
        <f t="shared" si="161"/>
        <v>1</v>
      </c>
      <c r="W201" s="91">
        <f t="shared" si="162"/>
        <v>0.64090909090909087</v>
      </c>
      <c r="X201" s="17">
        <v>1518.5</v>
      </c>
      <c r="Y201" s="17">
        <v>1320</v>
      </c>
      <c r="Z201" s="93">
        <f t="shared" si="163"/>
        <v>0.1307211063549556</v>
      </c>
      <c r="AA201" s="16"/>
      <c r="AB201" s="17">
        <v>0.29330000000000001</v>
      </c>
      <c r="AC201" s="17">
        <v>0</v>
      </c>
      <c r="AD201" s="21">
        <v>7.9000000000000008E-3</v>
      </c>
      <c r="AE201" s="16">
        <f t="shared" si="157"/>
        <v>0.29330000000000001</v>
      </c>
      <c r="AF201" s="17" t="str">
        <f t="shared" si="158"/>
        <v>-</v>
      </c>
      <c r="AG201" s="21">
        <f t="shared" si="159"/>
        <v>7.9000000000000008E-3</v>
      </c>
      <c r="AH201" s="16"/>
      <c r="AI201" s="115">
        <v>8.4190000000000005</v>
      </c>
      <c r="AJ201" s="17">
        <v>8.5000000000000006E-2</v>
      </c>
      <c r="AK201" s="21">
        <v>2.1999999999999999E-2</v>
      </c>
      <c r="AL201" s="17">
        <f t="shared" si="154"/>
        <v>8.4190000000000005</v>
      </c>
      <c r="AM201" s="17">
        <f t="shared" si="155"/>
        <v>8.5000000000000006E-2</v>
      </c>
      <c r="AN201" s="21">
        <f t="shared" si="156"/>
        <v>2.1999999999999999E-2</v>
      </c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</row>
    <row r="202" spans="1:72" s="17" customFormat="1" x14ac:dyDescent="0.35">
      <c r="A202" s="16"/>
      <c r="B202" s="17">
        <v>216</v>
      </c>
      <c r="C202" s="38" t="s">
        <v>145</v>
      </c>
      <c r="D202" s="17" t="s">
        <v>90</v>
      </c>
      <c r="F202" s="17">
        <v>931</v>
      </c>
      <c r="G202" s="17">
        <v>5</v>
      </c>
      <c r="H202" s="17">
        <v>115</v>
      </c>
      <c r="I202" s="17">
        <v>1</v>
      </c>
      <c r="J202" s="17">
        <v>5000</v>
      </c>
      <c r="K202" s="17">
        <v>65</v>
      </c>
      <c r="L202" s="17">
        <v>1</v>
      </c>
      <c r="M202" s="17">
        <f>(182.5+172.5)-(151+147)</f>
        <v>57</v>
      </c>
      <c r="Q202" s="17" t="s">
        <v>63</v>
      </c>
      <c r="R202" s="17">
        <f t="shared" si="164"/>
        <v>0.42782940190012553</v>
      </c>
      <c r="S202" s="17">
        <f t="shared" si="165"/>
        <v>42.37524393643713</v>
      </c>
      <c r="T202" s="17">
        <f t="shared" si="166"/>
        <v>163.72253339077986</v>
      </c>
      <c r="U202" s="91">
        <f t="shared" si="160"/>
        <v>0.97159995248841902</v>
      </c>
      <c r="V202" s="91">
        <f t="shared" si="161"/>
        <v>1</v>
      </c>
      <c r="W202" s="91">
        <f t="shared" si="162"/>
        <v>0.7</v>
      </c>
      <c r="X202" s="17">
        <v>1582.5</v>
      </c>
      <c r="Y202" s="17">
        <v>1367</v>
      </c>
      <c r="Z202" s="93">
        <f t="shared" si="163"/>
        <v>0.13617693522906793</v>
      </c>
      <c r="AA202" s="16"/>
      <c r="AB202" s="17">
        <v>0.23910000000000001</v>
      </c>
      <c r="AC202" s="17">
        <v>0</v>
      </c>
      <c r="AD202" s="21">
        <v>6.6E-3</v>
      </c>
      <c r="AE202" s="16">
        <f t="shared" si="157"/>
        <v>0.23910000000000001</v>
      </c>
      <c r="AF202" s="17" t="str">
        <f t="shared" si="158"/>
        <v>-</v>
      </c>
      <c r="AG202" s="21">
        <f t="shared" si="159"/>
        <v>6.6E-3</v>
      </c>
      <c r="AH202" s="16"/>
      <c r="AI202" s="115">
        <v>8.4190000000000005</v>
      </c>
      <c r="AJ202" s="17">
        <v>8.5000000000000006E-2</v>
      </c>
      <c r="AK202" s="21">
        <v>2.1999999999999999E-2</v>
      </c>
      <c r="AL202" s="17">
        <f t="shared" si="154"/>
        <v>8.4190000000000005</v>
      </c>
      <c r="AM202" s="17">
        <f t="shared" si="155"/>
        <v>8.5000000000000006E-2</v>
      </c>
      <c r="AN202" s="21">
        <f t="shared" si="156"/>
        <v>2.1999999999999999E-2</v>
      </c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</row>
    <row r="203" spans="1:72" s="64" customFormat="1" ht="15" thickBot="1" x14ac:dyDescent="0.4">
      <c r="A203" s="63"/>
      <c r="B203" s="64">
        <v>217</v>
      </c>
      <c r="C203" s="72" t="s">
        <v>145</v>
      </c>
      <c r="D203" s="64" t="s">
        <v>90</v>
      </c>
      <c r="F203" s="64">
        <v>931</v>
      </c>
      <c r="G203" s="64">
        <v>6</v>
      </c>
      <c r="H203" s="64">
        <v>130</v>
      </c>
      <c r="I203" s="64">
        <v>2</v>
      </c>
      <c r="J203" s="64">
        <v>5000</v>
      </c>
      <c r="K203" s="64">
        <v>65</v>
      </c>
      <c r="L203" s="64">
        <v>1</v>
      </c>
      <c r="M203" s="64">
        <f>(157.5+126.5+157.5+125.5)-(133.5+126.5+130+120)</f>
        <v>57</v>
      </c>
      <c r="Q203" s="64" t="s">
        <v>63</v>
      </c>
      <c r="R203" s="64">
        <f t="shared" si="164"/>
        <v>0.43013978939450354</v>
      </c>
      <c r="S203" s="64">
        <f t="shared" si="165"/>
        <v>42.604081022497944</v>
      </c>
      <c r="T203" s="64">
        <f t="shared" si="166"/>
        <v>164.60667667783298</v>
      </c>
      <c r="U203" s="96">
        <f t="shared" si="160"/>
        <v>0.96159876469889538</v>
      </c>
      <c r="V203" s="96">
        <f t="shared" si="161"/>
        <v>1</v>
      </c>
      <c r="W203" s="96">
        <f t="shared" si="162"/>
        <v>0.6045454545454545</v>
      </c>
      <c r="X203" s="64">
        <v>1574</v>
      </c>
      <c r="Y203" s="64">
        <v>1370.5</v>
      </c>
      <c r="Z203" s="94">
        <f t="shared" si="163"/>
        <v>0.12928843710292248</v>
      </c>
      <c r="AA203" s="63"/>
      <c r="AB203" s="64">
        <v>0.32329999999999998</v>
      </c>
      <c r="AC203" s="64">
        <v>0</v>
      </c>
      <c r="AD203" s="65">
        <v>8.6999999999999994E-3</v>
      </c>
      <c r="AE203" s="63">
        <f t="shared" si="157"/>
        <v>0.32329999999999998</v>
      </c>
      <c r="AF203" s="64" t="str">
        <f t="shared" si="158"/>
        <v>-</v>
      </c>
      <c r="AG203" s="65">
        <f t="shared" si="159"/>
        <v>8.6999999999999994E-3</v>
      </c>
      <c r="AH203" s="63"/>
      <c r="AI203" s="116">
        <v>8.4190000000000005</v>
      </c>
      <c r="AJ203" s="64">
        <v>8.5000000000000006E-2</v>
      </c>
      <c r="AK203" s="65">
        <v>2.1999999999999999E-2</v>
      </c>
      <c r="AL203" s="64">
        <f t="shared" si="154"/>
        <v>8.4190000000000005</v>
      </c>
      <c r="AM203" s="64">
        <f t="shared" si="155"/>
        <v>8.5000000000000006E-2</v>
      </c>
      <c r="AN203" s="65">
        <f t="shared" si="156"/>
        <v>2.1999999999999999E-2</v>
      </c>
      <c r="AO203" s="106"/>
      <c r="AP203" s="106"/>
      <c r="AQ203" s="106"/>
      <c r="AR203" s="106"/>
      <c r="AS203" s="106"/>
      <c r="AT203" s="106"/>
      <c r="AU203" s="106"/>
      <c r="AV203" s="106"/>
      <c r="AW203" s="106"/>
      <c r="AX203" s="106"/>
      <c r="AY203" s="106"/>
      <c r="AZ203" s="106"/>
      <c r="BA203" s="106"/>
      <c r="BB203" s="106"/>
      <c r="BC203" s="106"/>
      <c r="BD203" s="106"/>
      <c r="BE203" s="106"/>
      <c r="BF203" s="106"/>
      <c r="BG203" s="106"/>
      <c r="BH203" s="106"/>
      <c r="BI203" s="106"/>
      <c r="BJ203" s="106"/>
      <c r="BK203" s="106"/>
      <c r="BL203" s="106"/>
      <c r="BM203" s="106"/>
      <c r="BN203" s="106"/>
      <c r="BO203" s="106"/>
      <c r="BP203" s="106"/>
      <c r="BQ203" s="106"/>
      <c r="BR203" s="106"/>
      <c r="BS203" s="106"/>
      <c r="BT203" s="106"/>
    </row>
    <row r="204" spans="1:72" s="59" customFormat="1" ht="15" thickTop="1" x14ac:dyDescent="0.35">
      <c r="A204" s="58"/>
      <c r="B204" s="59">
        <v>218</v>
      </c>
      <c r="C204" s="69">
        <v>43439</v>
      </c>
      <c r="D204" s="59" t="s">
        <v>80</v>
      </c>
      <c r="F204" s="59">
        <v>545</v>
      </c>
      <c r="G204" s="59">
        <v>1</v>
      </c>
      <c r="H204" s="59">
        <v>150</v>
      </c>
      <c r="I204" s="59">
        <v>1</v>
      </c>
      <c r="J204" s="59">
        <v>5000</v>
      </c>
      <c r="K204" s="59">
        <v>65</v>
      </c>
      <c r="L204" s="59">
        <v>1</v>
      </c>
      <c r="M204" s="59">
        <f>(131.5+137+152+180.5+161+175.5)-(125.5+133.5+138+176.5+140.5+153.5)</f>
        <v>70</v>
      </c>
      <c r="Q204" s="59" t="s">
        <v>60</v>
      </c>
      <c r="R204" s="59">
        <f t="shared" si="164"/>
        <v>0.41689248342852375</v>
      </c>
      <c r="S204" s="59">
        <f t="shared" si="165"/>
        <v>481.92771084337346</v>
      </c>
      <c r="T204" s="59">
        <f t="shared" si="166"/>
        <v>34.42340791738382</v>
      </c>
      <c r="U204" s="95">
        <f t="shared" si="160"/>
        <v>0.92201557093425601</v>
      </c>
      <c r="V204" s="95">
        <f t="shared" si="161"/>
        <v>1</v>
      </c>
      <c r="W204" s="95">
        <f t="shared" si="162"/>
        <v>0.40357142857142858</v>
      </c>
      <c r="X204" s="59">
        <v>1452.5</v>
      </c>
      <c r="Y204" s="59">
        <v>1268</v>
      </c>
      <c r="Z204" s="92">
        <f t="shared" si="163"/>
        <v>0.12702237521514625</v>
      </c>
      <c r="AA204" s="58"/>
      <c r="AB204" s="59">
        <v>0.90149999999999997</v>
      </c>
      <c r="AC204" s="59">
        <v>0</v>
      </c>
      <c r="AD204" s="60">
        <v>8.3500000000000005E-2</v>
      </c>
      <c r="AE204" s="58">
        <f t="shared" si="157"/>
        <v>0.90149999999999997</v>
      </c>
      <c r="AF204" s="59" t="str">
        <f t="shared" si="158"/>
        <v>-</v>
      </c>
      <c r="AG204" s="60">
        <f t="shared" si="159"/>
        <v>8.3500000000000005E-2</v>
      </c>
      <c r="AH204" s="58"/>
      <c r="AI204" s="114">
        <v>11.56</v>
      </c>
      <c r="AJ204" s="80">
        <v>0.01</v>
      </c>
      <c r="AK204" s="117">
        <v>0.14000000000000001</v>
      </c>
      <c r="AL204" s="59">
        <f t="shared" si="154"/>
        <v>11.56</v>
      </c>
      <c r="AM204" s="59">
        <f t="shared" si="155"/>
        <v>0.01</v>
      </c>
      <c r="AN204" s="60">
        <f t="shared" si="156"/>
        <v>0.14000000000000001</v>
      </c>
      <c r="AO204" s="107"/>
      <c r="AP204" s="107"/>
      <c r="AQ204" s="107"/>
      <c r="AR204" s="107"/>
      <c r="AS204" s="107"/>
      <c r="AT204" s="107"/>
      <c r="AU204" s="107"/>
      <c r="AV204" s="107"/>
      <c r="AW204" s="107"/>
      <c r="AX204" s="107"/>
      <c r="AY204" s="107"/>
      <c r="AZ204" s="107"/>
      <c r="BA204" s="107"/>
      <c r="BB204" s="107"/>
      <c r="BC204" s="107"/>
      <c r="BD204" s="107"/>
      <c r="BE204" s="107"/>
      <c r="BF204" s="107"/>
      <c r="BG204" s="107"/>
      <c r="BH204" s="107"/>
      <c r="BI204" s="107"/>
      <c r="BJ204" s="107"/>
      <c r="BK204" s="107"/>
      <c r="BL204" s="107"/>
      <c r="BM204" s="107"/>
      <c r="BN204" s="107"/>
      <c r="BO204" s="107"/>
      <c r="BP204" s="107"/>
      <c r="BQ204" s="107"/>
      <c r="BR204" s="107"/>
      <c r="BS204" s="107"/>
      <c r="BT204" s="107"/>
    </row>
    <row r="205" spans="1:72" s="64" customFormat="1" ht="15" thickBot="1" x14ac:dyDescent="0.4">
      <c r="A205" s="63"/>
      <c r="B205" s="64">
        <v>220</v>
      </c>
      <c r="C205" s="70">
        <v>43439</v>
      </c>
      <c r="D205" s="64" t="s">
        <v>80</v>
      </c>
      <c r="F205" s="64">
        <v>545</v>
      </c>
      <c r="G205" s="64">
        <v>4</v>
      </c>
      <c r="H205" s="64">
        <v>160</v>
      </c>
      <c r="I205" s="64">
        <v>2</v>
      </c>
      <c r="J205" s="64">
        <v>5000</v>
      </c>
      <c r="K205" s="64">
        <v>65</v>
      </c>
      <c r="L205" s="64">
        <v>1</v>
      </c>
      <c r="M205" s="64">
        <f>(142.5+163.5+163.5+158+174.5+168)-(125.5+151+146+139+166.5+162)</f>
        <v>80</v>
      </c>
      <c r="Q205" s="64" t="s">
        <v>60</v>
      </c>
      <c r="R205" s="64">
        <f t="shared" si="164"/>
        <v>0.43442656779117983</v>
      </c>
      <c r="S205" s="64">
        <f t="shared" si="165"/>
        <v>502.1971123666039</v>
      </c>
      <c r="T205" s="64">
        <f t="shared" si="166"/>
        <v>35.871222311900269</v>
      </c>
      <c r="U205" s="96">
        <f t="shared" ref="U205:W205" si="167">IF(AB205&lt;&gt;"",(AI205-AB205)/AI205,"-")</f>
        <v>0.85224048442906575</v>
      </c>
      <c r="V205" s="96">
        <f t="shared" si="167"/>
        <v>1</v>
      </c>
      <c r="W205" s="96">
        <f t="shared" si="167"/>
        <v>-0.13999999999999985</v>
      </c>
      <c r="X205" s="64">
        <v>1593</v>
      </c>
      <c r="Y205" s="64">
        <v>1284</v>
      </c>
      <c r="Z205" s="94">
        <f t="shared" si="163"/>
        <v>0.19397363465160078</v>
      </c>
      <c r="AA205" s="63"/>
      <c r="AB205" s="64">
        <v>1.7081</v>
      </c>
      <c r="AC205" s="64">
        <v>0</v>
      </c>
      <c r="AD205" s="65">
        <v>0.15959999999999999</v>
      </c>
      <c r="AE205" s="63">
        <f t="shared" si="157"/>
        <v>1.7081</v>
      </c>
      <c r="AF205" s="64" t="str">
        <f t="shared" si="158"/>
        <v>-</v>
      </c>
      <c r="AG205" s="65">
        <f t="shared" si="159"/>
        <v>0.15959999999999999</v>
      </c>
      <c r="AH205" s="63"/>
      <c r="AI205" s="116">
        <v>11.56</v>
      </c>
      <c r="AJ205" s="81">
        <v>0.01</v>
      </c>
      <c r="AK205" s="119">
        <v>0.14000000000000001</v>
      </c>
      <c r="AL205" s="64">
        <f t="shared" si="154"/>
        <v>11.56</v>
      </c>
      <c r="AM205" s="64">
        <f t="shared" si="155"/>
        <v>0.01</v>
      </c>
      <c r="AN205" s="65">
        <f t="shared" si="156"/>
        <v>0.14000000000000001</v>
      </c>
      <c r="AO205" s="106"/>
      <c r="AP205" s="106"/>
      <c r="AQ205" s="106"/>
      <c r="AR205" s="106"/>
      <c r="AS205" s="106"/>
      <c r="AT205" s="106"/>
      <c r="AU205" s="106"/>
      <c r="AV205" s="106"/>
      <c r="AW205" s="106"/>
      <c r="AX205" s="106"/>
      <c r="AY205" s="106"/>
      <c r="AZ205" s="106"/>
      <c r="BA205" s="106"/>
      <c r="BB205" s="106"/>
      <c r="BC205" s="106"/>
      <c r="BD205" s="106"/>
      <c r="BE205" s="106"/>
      <c r="BF205" s="106"/>
      <c r="BG205" s="106"/>
      <c r="BH205" s="106"/>
      <c r="BI205" s="106"/>
      <c r="BJ205" s="106"/>
      <c r="BK205" s="106"/>
      <c r="BL205" s="106"/>
      <c r="BM205" s="106"/>
      <c r="BN205" s="106"/>
      <c r="BO205" s="106"/>
      <c r="BP205" s="106"/>
      <c r="BQ205" s="106"/>
      <c r="BR205" s="106"/>
      <c r="BS205" s="106"/>
      <c r="BT205" s="106"/>
    </row>
    <row r="206" spans="1:72" s="56" customFormat="1" ht="15" thickTop="1" x14ac:dyDescent="0.35">
      <c r="A206" s="66"/>
      <c r="B206" s="56">
        <v>221</v>
      </c>
      <c r="C206" s="57" t="s">
        <v>147</v>
      </c>
      <c r="D206" s="56" t="s">
        <v>148</v>
      </c>
      <c r="E206" s="56">
        <v>1</v>
      </c>
      <c r="F206" s="56">
        <v>981</v>
      </c>
      <c r="G206" s="56">
        <v>1</v>
      </c>
      <c r="H206" s="56">
        <v>90</v>
      </c>
      <c r="I206" s="56">
        <v>1</v>
      </c>
      <c r="J206" s="56">
        <v>5000</v>
      </c>
      <c r="K206" s="56">
        <v>65</v>
      </c>
      <c r="L206" s="56">
        <v>1</v>
      </c>
      <c r="M206" s="56">
        <f>(150.5+156+150+187)-(131+136+137+187)</f>
        <v>52.5</v>
      </c>
      <c r="R206" s="56">
        <f t="shared" si="164"/>
        <v>8.4502961627607522</v>
      </c>
      <c r="S206" s="56">
        <f t="shared" si="165"/>
        <v>0.40819325501465409</v>
      </c>
      <c r="T206" s="56">
        <f t="shared" si="166"/>
        <v>297.45042492917844</v>
      </c>
      <c r="U206" s="83">
        <f t="shared" ref="U206:U229" si="168">IF(AB206&lt;&gt;"",(AI206-AB206)/AI206,"-")</f>
        <v>0.95880681818181812</v>
      </c>
      <c r="V206" s="83">
        <f t="shared" ref="V206:V229" si="169">IF(AC206&lt;&gt;"",(AJ206-AC206)/AJ206,"-")</f>
        <v>0.97340469328941948</v>
      </c>
      <c r="W206" s="83">
        <f t="shared" ref="W206:W229" si="170">IF(AD206&lt;&gt;"",(AK206-AD206)/AK206,"-")</f>
        <v>1</v>
      </c>
      <c r="X206" s="56">
        <v>1765</v>
      </c>
      <c r="Y206" s="56">
        <v>1544</v>
      </c>
      <c r="Z206" s="85">
        <f t="shared" si="163"/>
        <v>0.12521246458923507</v>
      </c>
      <c r="AA206" s="66"/>
      <c r="AB206" s="56">
        <v>1.4500000000000001E-2</v>
      </c>
      <c r="AC206" s="56">
        <v>0.1938</v>
      </c>
      <c r="AD206" s="86">
        <v>0</v>
      </c>
      <c r="AE206" s="66">
        <f t="shared" si="157"/>
        <v>1.4500000000000001E-2</v>
      </c>
      <c r="AF206" s="56">
        <f t="shared" si="158"/>
        <v>0.1938</v>
      </c>
      <c r="AG206" s="86" t="str">
        <f t="shared" si="159"/>
        <v>-</v>
      </c>
      <c r="AH206" s="66"/>
      <c r="AI206" s="120">
        <v>0.35199999999999998</v>
      </c>
      <c r="AJ206" s="56">
        <v>7.2869999999999999</v>
      </c>
      <c r="AK206" s="86">
        <v>0.01</v>
      </c>
      <c r="AL206" s="56">
        <f t="shared" si="154"/>
        <v>0.35199999999999998</v>
      </c>
      <c r="AM206" s="56">
        <f t="shared" si="155"/>
        <v>7.2869999999999999</v>
      </c>
      <c r="AN206" s="86">
        <f t="shared" si="156"/>
        <v>0.01</v>
      </c>
      <c r="AO206" s="107"/>
      <c r="AP206" s="107"/>
      <c r="AQ206" s="107"/>
      <c r="AR206" s="107"/>
      <c r="AS206" s="107"/>
      <c r="AT206" s="107"/>
      <c r="AU206" s="107"/>
      <c r="AV206" s="107"/>
      <c r="AW206" s="107"/>
      <c r="AX206" s="107"/>
      <c r="AY206" s="107"/>
      <c r="AZ206" s="107"/>
      <c r="BA206" s="107"/>
      <c r="BB206" s="107"/>
      <c r="BC206" s="107"/>
      <c r="BD206" s="107"/>
      <c r="BE206" s="107"/>
      <c r="BF206" s="107"/>
      <c r="BG206" s="107"/>
      <c r="BH206" s="107"/>
      <c r="BI206" s="107"/>
      <c r="BJ206" s="107"/>
      <c r="BK206" s="107"/>
      <c r="BL206" s="107"/>
      <c r="BM206" s="107"/>
      <c r="BN206" s="107"/>
      <c r="BO206" s="107"/>
      <c r="BP206" s="107"/>
      <c r="BQ206" s="107"/>
      <c r="BR206" s="107"/>
      <c r="BS206" s="107"/>
      <c r="BT206" s="107"/>
    </row>
    <row r="207" spans="1:72" s="11" customFormat="1" x14ac:dyDescent="0.35">
      <c r="A207" s="10"/>
      <c r="B207" s="11">
        <v>222</v>
      </c>
      <c r="C207" s="41" t="s">
        <v>147</v>
      </c>
      <c r="D207" s="11" t="s">
        <v>148</v>
      </c>
      <c r="E207" s="11">
        <v>1</v>
      </c>
      <c r="F207" s="11">
        <v>981</v>
      </c>
      <c r="G207" s="11">
        <v>2</v>
      </c>
      <c r="H207" s="11">
        <v>100</v>
      </c>
      <c r="I207" s="11">
        <v>2</v>
      </c>
      <c r="J207" s="11">
        <v>5000</v>
      </c>
      <c r="K207" s="11">
        <v>65</v>
      </c>
      <c r="L207" s="11">
        <v>1</v>
      </c>
      <c r="M207" s="11">
        <f>(167+164)-(138.5+135)</f>
        <v>57.5</v>
      </c>
      <c r="R207" s="11">
        <f t="shared" si="164"/>
        <v>9.511049358210931</v>
      </c>
      <c r="S207" s="11">
        <f t="shared" si="165"/>
        <v>0.45943315137782997</v>
      </c>
      <c r="T207" s="11">
        <f t="shared" si="166"/>
        <v>334.7889374090247</v>
      </c>
      <c r="U207" s="55">
        <f t="shared" si="168"/>
        <v>0.95227272727272727</v>
      </c>
      <c r="V207" s="55">
        <f t="shared" si="169"/>
        <v>0.96698229724166329</v>
      </c>
      <c r="W207" s="55">
        <f t="shared" si="170"/>
        <v>1</v>
      </c>
      <c r="X207" s="11">
        <v>1717.5</v>
      </c>
      <c r="Y207" s="11">
        <v>1601.5</v>
      </c>
      <c r="Z207" s="87">
        <f t="shared" si="163"/>
        <v>6.7540029112081568E-2</v>
      </c>
      <c r="AA207" s="10"/>
      <c r="AB207" s="11">
        <v>1.6799999999999999E-2</v>
      </c>
      <c r="AC207" s="11">
        <v>0.24060000000000001</v>
      </c>
      <c r="AD207" s="88">
        <v>0</v>
      </c>
      <c r="AE207" s="10">
        <f t="shared" si="157"/>
        <v>1.6799999999999999E-2</v>
      </c>
      <c r="AF207" s="11">
        <f t="shared" si="158"/>
        <v>0.24060000000000001</v>
      </c>
      <c r="AG207" s="88" t="str">
        <f t="shared" si="159"/>
        <v>-</v>
      </c>
      <c r="AH207" s="10"/>
      <c r="AI207" s="121">
        <v>0.35199999999999998</v>
      </c>
      <c r="AJ207" s="11">
        <v>7.2869999999999999</v>
      </c>
      <c r="AK207" s="88">
        <v>0.01</v>
      </c>
      <c r="AL207" s="11">
        <f t="shared" si="154"/>
        <v>0.35199999999999998</v>
      </c>
      <c r="AM207" s="11">
        <f t="shared" si="155"/>
        <v>7.2869999999999999</v>
      </c>
      <c r="AN207" s="88">
        <f t="shared" si="156"/>
        <v>0.01</v>
      </c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</row>
    <row r="208" spans="1:72" s="11" customFormat="1" x14ac:dyDescent="0.35">
      <c r="A208" s="10"/>
      <c r="B208" s="11">
        <v>223</v>
      </c>
      <c r="C208" s="41" t="s">
        <v>149</v>
      </c>
      <c r="D208" s="11" t="s">
        <v>148</v>
      </c>
      <c r="E208" s="11">
        <v>1</v>
      </c>
      <c r="F208" s="11">
        <v>981</v>
      </c>
      <c r="G208" s="11">
        <v>3</v>
      </c>
      <c r="H208" s="11">
        <v>95</v>
      </c>
      <c r="I208" s="11">
        <v>1</v>
      </c>
      <c r="J208" s="11">
        <v>5000</v>
      </c>
      <c r="K208" s="11">
        <v>65</v>
      </c>
      <c r="L208" s="11">
        <v>2</v>
      </c>
      <c r="M208" s="11">
        <f>(158+161)-(131+134)</f>
        <v>54</v>
      </c>
      <c r="R208" s="11">
        <f t="shared" si="164"/>
        <v>9.2694314748695419</v>
      </c>
      <c r="S208" s="11">
        <f t="shared" si="165"/>
        <v>0.44776175094745141</v>
      </c>
      <c r="T208" s="11">
        <f t="shared" si="166"/>
        <v>326.28398791540786</v>
      </c>
      <c r="U208" s="55">
        <f t="shared" si="168"/>
        <v>0.99261363636363642</v>
      </c>
      <c r="V208" s="55">
        <f t="shared" si="169"/>
        <v>0.98847262247838619</v>
      </c>
      <c r="W208" s="55">
        <f t="shared" si="170"/>
        <v>1</v>
      </c>
      <c r="X208" s="11">
        <v>1655</v>
      </c>
      <c r="Y208" s="11">
        <v>1473.5</v>
      </c>
      <c r="Z208" s="87">
        <f t="shared" si="163"/>
        <v>0.10966767371601205</v>
      </c>
      <c r="AA208" s="10"/>
      <c r="AB208" s="11">
        <v>2.5999999999999999E-3</v>
      </c>
      <c r="AC208" s="108">
        <v>8.4000000000000005E-2</v>
      </c>
      <c r="AD208" s="88">
        <v>0</v>
      </c>
      <c r="AE208" s="10">
        <f t="shared" si="157"/>
        <v>2.5999999999999999E-3</v>
      </c>
      <c r="AF208" s="11">
        <f t="shared" si="158"/>
        <v>8.4000000000000005E-2</v>
      </c>
      <c r="AG208" s="88" t="str">
        <f t="shared" si="159"/>
        <v>-</v>
      </c>
      <c r="AH208" s="10"/>
      <c r="AI208" s="121">
        <v>0.35199999999999998</v>
      </c>
      <c r="AJ208" s="11">
        <v>7.2869999999999999</v>
      </c>
      <c r="AK208" s="88">
        <v>0.01</v>
      </c>
      <c r="AL208" s="11">
        <f t="shared" si="154"/>
        <v>0.35199999999999998</v>
      </c>
      <c r="AM208" s="11">
        <f t="shared" si="155"/>
        <v>7.2869999999999999</v>
      </c>
      <c r="AN208" s="88">
        <f t="shared" si="156"/>
        <v>0.01</v>
      </c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</row>
    <row r="209" spans="1:72" s="11" customFormat="1" x14ac:dyDescent="0.35">
      <c r="A209" s="10"/>
      <c r="B209" s="11">
        <v>224</v>
      </c>
      <c r="C209" s="41" t="s">
        <v>150</v>
      </c>
      <c r="D209" s="11" t="s">
        <v>148</v>
      </c>
      <c r="E209" s="11">
        <v>1</v>
      </c>
      <c r="F209" s="11">
        <v>981</v>
      </c>
      <c r="G209" s="11">
        <v>4</v>
      </c>
      <c r="H209" s="11">
        <v>100</v>
      </c>
      <c r="I209" s="11">
        <v>2</v>
      </c>
      <c r="J209" s="11">
        <v>5000</v>
      </c>
      <c r="K209" s="11">
        <v>65</v>
      </c>
      <c r="L209" s="11">
        <v>1</v>
      </c>
      <c r="M209" s="11">
        <f>(182+165)-(150.5+141)</f>
        <v>55.5</v>
      </c>
      <c r="R209" s="11">
        <f t="shared" si="164"/>
        <v>9.5413285655343145</v>
      </c>
      <c r="S209" s="11">
        <f t="shared" si="165"/>
        <v>0.46089579457500734</v>
      </c>
      <c r="T209" s="11">
        <f t="shared" si="166"/>
        <v>335.85476550680784</v>
      </c>
      <c r="U209" s="55">
        <f t="shared" si="168"/>
        <v>0.99261363636363642</v>
      </c>
      <c r="V209" s="55">
        <f t="shared" si="169"/>
        <v>0.97749416769589681</v>
      </c>
      <c r="W209" s="55">
        <f t="shared" si="170"/>
        <v>1</v>
      </c>
      <c r="X209" s="11">
        <v>1652.5</v>
      </c>
      <c r="Y209" s="11">
        <v>1490.5</v>
      </c>
      <c r="Z209" s="87">
        <f t="shared" si="163"/>
        <v>9.8033282904689822E-2</v>
      </c>
      <c r="AA209" s="10"/>
      <c r="AB209" s="11">
        <v>2.5999999999999999E-3</v>
      </c>
      <c r="AC209" s="108">
        <v>0.16400000000000001</v>
      </c>
      <c r="AD209" s="88">
        <v>0</v>
      </c>
      <c r="AE209" s="10">
        <f t="shared" si="157"/>
        <v>2.5999999999999999E-3</v>
      </c>
      <c r="AF209" s="11">
        <f t="shared" si="158"/>
        <v>0.16400000000000001</v>
      </c>
      <c r="AG209" s="88" t="str">
        <f t="shared" si="159"/>
        <v>-</v>
      </c>
      <c r="AH209" s="10"/>
      <c r="AI209" s="121">
        <v>0.35199999999999998</v>
      </c>
      <c r="AJ209" s="11">
        <v>7.2869999999999999</v>
      </c>
      <c r="AK209" s="88">
        <v>0.01</v>
      </c>
      <c r="AL209" s="11">
        <f t="shared" si="154"/>
        <v>0.35199999999999998</v>
      </c>
      <c r="AM209" s="11">
        <f t="shared" si="155"/>
        <v>7.2869999999999999</v>
      </c>
      <c r="AN209" s="88">
        <f t="shared" si="156"/>
        <v>0.01</v>
      </c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</row>
    <row r="210" spans="1:72" s="11" customFormat="1" x14ac:dyDescent="0.35">
      <c r="A210" s="10"/>
      <c r="B210" s="11">
        <v>225</v>
      </c>
      <c r="C210" s="41" t="s">
        <v>150</v>
      </c>
      <c r="D210" s="11" t="s">
        <v>148</v>
      </c>
      <c r="E210" s="11">
        <v>1</v>
      </c>
      <c r="F210" s="11">
        <v>981</v>
      </c>
      <c r="G210" s="11">
        <v>5</v>
      </c>
      <c r="H210" s="11">
        <v>130</v>
      </c>
      <c r="I210" s="11">
        <v>1</v>
      </c>
      <c r="J210" s="11">
        <v>5000</v>
      </c>
      <c r="K210" s="11">
        <v>65</v>
      </c>
      <c r="L210" s="11">
        <v>1</v>
      </c>
      <c r="M210" s="11">
        <f>(161+162+175+173.5)-(146.5+141.5+165.5+164.5)</f>
        <v>53.5</v>
      </c>
      <c r="R210" s="11">
        <f t="shared" si="164"/>
        <v>8.7551057813154589</v>
      </c>
      <c r="S210" s="11">
        <f t="shared" si="165"/>
        <v>0.42291714491876509</v>
      </c>
      <c r="T210" s="11">
        <f t="shared" si="166"/>
        <v>308.17972350230411</v>
      </c>
      <c r="U210" s="55">
        <f t="shared" si="168"/>
        <v>0.97272727272727277</v>
      </c>
      <c r="V210" s="55">
        <f t="shared" si="169"/>
        <v>0.98711403869905312</v>
      </c>
      <c r="W210" s="55">
        <f t="shared" si="170"/>
        <v>1</v>
      </c>
      <c r="X210" s="11">
        <v>1736</v>
      </c>
      <c r="Y210" s="11">
        <v>1557</v>
      </c>
      <c r="Z210" s="87">
        <f t="shared" si="163"/>
        <v>0.10311059907834097</v>
      </c>
      <c r="AA210" s="10"/>
      <c r="AB210" s="11">
        <v>9.5999999999999992E-3</v>
      </c>
      <c r="AC210" s="11">
        <v>9.3899999999999997E-2</v>
      </c>
      <c r="AD210" s="88">
        <v>0</v>
      </c>
      <c r="AE210" s="10">
        <f t="shared" ref="AE210:AE240" si="171">IF(AB210,AB210/(1-$AA210),"-")</f>
        <v>9.5999999999999992E-3</v>
      </c>
      <c r="AF210" s="11">
        <f t="shared" ref="AF210:AF240" si="172">IF(AC210,AC210/(1-$AA210),"-")</f>
        <v>9.3899999999999997E-2</v>
      </c>
      <c r="AG210" s="88" t="str">
        <f t="shared" ref="AG210:AG240" si="173">IF(AD210,AD210/(1-$AA210),"-")</f>
        <v>-</v>
      </c>
      <c r="AH210" s="10"/>
      <c r="AI210" s="121">
        <v>0.35199999999999998</v>
      </c>
      <c r="AJ210" s="11">
        <v>7.2869999999999999</v>
      </c>
      <c r="AK210" s="88">
        <v>0.01</v>
      </c>
      <c r="AL210" s="11">
        <f t="shared" si="154"/>
        <v>0.35199999999999998</v>
      </c>
      <c r="AM210" s="11">
        <f t="shared" si="155"/>
        <v>7.2869999999999999</v>
      </c>
      <c r="AN210" s="88">
        <f t="shared" si="156"/>
        <v>0.01</v>
      </c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</row>
    <row r="211" spans="1:72" s="11" customFormat="1" x14ac:dyDescent="0.35">
      <c r="A211" s="10"/>
      <c r="B211" s="11">
        <v>226</v>
      </c>
      <c r="C211" s="41" t="s">
        <v>150</v>
      </c>
      <c r="D211" s="11" t="s">
        <v>148</v>
      </c>
      <c r="E211" s="11">
        <v>1</v>
      </c>
      <c r="F211" s="11">
        <v>981</v>
      </c>
      <c r="G211" s="11">
        <v>6</v>
      </c>
      <c r="H211" s="11">
        <v>90</v>
      </c>
      <c r="I211" s="11">
        <v>1</v>
      </c>
      <c r="J211" s="11">
        <v>5000</v>
      </c>
      <c r="K211" s="11">
        <v>65</v>
      </c>
      <c r="L211" s="11">
        <v>1</v>
      </c>
      <c r="M211" s="11">
        <f>(168.5+167+165.5+164.5)-(165+163.5+144.5+142.5)</f>
        <v>50</v>
      </c>
      <c r="R211" s="11">
        <f t="shared" si="164"/>
        <v>9.9646057204808525</v>
      </c>
      <c r="S211" s="11">
        <f t="shared" si="165"/>
        <v>0.48134228264158907</v>
      </c>
      <c r="T211" s="11">
        <f t="shared" si="166"/>
        <v>350.75412136092598</v>
      </c>
      <c r="U211" s="55">
        <f t="shared" si="168"/>
        <v>0.97130681818181819</v>
      </c>
      <c r="V211" s="55">
        <f t="shared" si="169"/>
        <v>0.97776862906545903</v>
      </c>
      <c r="W211" s="55">
        <f t="shared" si="170"/>
        <v>1</v>
      </c>
      <c r="X211" s="11">
        <v>1425.5</v>
      </c>
      <c r="Y211" s="11">
        <v>1277.5</v>
      </c>
      <c r="Z211" s="87">
        <f t="shared" si="163"/>
        <v>0.10382321992283405</v>
      </c>
      <c r="AA211" s="10"/>
      <c r="AB211" s="11">
        <v>1.01E-2</v>
      </c>
      <c r="AC211" s="108">
        <v>0.16200000000000001</v>
      </c>
      <c r="AD211" s="88">
        <v>0</v>
      </c>
      <c r="AE211" s="10">
        <f t="shared" si="171"/>
        <v>1.01E-2</v>
      </c>
      <c r="AF211" s="11">
        <f t="shared" si="172"/>
        <v>0.16200000000000001</v>
      </c>
      <c r="AG211" s="88" t="str">
        <f t="shared" si="173"/>
        <v>-</v>
      </c>
      <c r="AH211" s="10"/>
      <c r="AI211" s="121">
        <v>0.35199999999999998</v>
      </c>
      <c r="AJ211" s="11">
        <v>7.2869999999999999</v>
      </c>
      <c r="AK211" s="88">
        <v>0.01</v>
      </c>
      <c r="AL211" s="11">
        <f t="shared" ref="AL211:AL239" si="174">IF(AI211,AI211/(1-$AH211),"-")</f>
        <v>0.35199999999999998</v>
      </c>
      <c r="AM211" s="11">
        <f t="shared" ref="AM211:AM239" si="175">IF(AJ211,AJ211/(1-$AH211),"-")</f>
        <v>7.2869999999999999</v>
      </c>
      <c r="AN211" s="88">
        <f t="shared" ref="AN211:AN239" si="176">IF(AK211,AK211/(1-$AH211),"-")</f>
        <v>0.01</v>
      </c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</row>
    <row r="212" spans="1:72" s="61" customFormat="1" ht="15" thickBot="1" x14ac:dyDescent="0.4">
      <c r="A212" s="68"/>
      <c r="B212" s="61">
        <v>226</v>
      </c>
      <c r="C212" s="62" t="s">
        <v>150</v>
      </c>
      <c r="D212" s="61" t="s">
        <v>148</v>
      </c>
      <c r="E212" s="61">
        <v>1</v>
      </c>
      <c r="F212" s="61">
        <v>981</v>
      </c>
      <c r="G212" s="61">
        <v>7</v>
      </c>
      <c r="H212" s="61">
        <v>90</v>
      </c>
      <c r="I212" s="61">
        <v>2</v>
      </c>
      <c r="J212" s="61">
        <v>5000</v>
      </c>
      <c r="K212" s="61">
        <v>65</v>
      </c>
      <c r="L212" s="61">
        <v>1</v>
      </c>
      <c r="M212" s="61">
        <f>(165+163.5)-(140+138.5)</f>
        <v>50</v>
      </c>
      <c r="R212" s="61">
        <f t="shared" si="164"/>
        <v>10.334336452925031</v>
      </c>
      <c r="S212" s="61">
        <f t="shared" si="165"/>
        <v>0.49920220000406346</v>
      </c>
      <c r="T212" s="61">
        <f t="shared" si="166"/>
        <v>363.76864314296103</v>
      </c>
      <c r="U212" s="84">
        <f t="shared" si="168"/>
        <v>0.91903409090909083</v>
      </c>
      <c r="V212" s="84">
        <f t="shared" si="169"/>
        <v>0.94361191162343905</v>
      </c>
      <c r="W212" s="84">
        <f t="shared" si="170"/>
        <v>1</v>
      </c>
      <c r="X212" s="61">
        <v>1374.5</v>
      </c>
      <c r="Y212" s="61">
        <v>1233.5</v>
      </c>
      <c r="Z212" s="89">
        <f t="shared" si="163"/>
        <v>0.10258275736631506</v>
      </c>
      <c r="AA212" s="68"/>
      <c r="AB212" s="61">
        <v>2.8500000000000001E-2</v>
      </c>
      <c r="AC212" s="61">
        <v>0.41089999999999999</v>
      </c>
      <c r="AD212" s="90">
        <v>0</v>
      </c>
      <c r="AE212" s="68">
        <f t="shared" si="171"/>
        <v>2.8500000000000001E-2</v>
      </c>
      <c r="AF212" s="61">
        <f t="shared" si="172"/>
        <v>0.41089999999999999</v>
      </c>
      <c r="AG212" s="90" t="str">
        <f t="shared" si="173"/>
        <v>-</v>
      </c>
      <c r="AH212" s="68"/>
      <c r="AI212" s="122">
        <v>0.35199999999999998</v>
      </c>
      <c r="AJ212" s="61">
        <v>7.2869999999999999</v>
      </c>
      <c r="AK212" s="90">
        <v>0.01</v>
      </c>
      <c r="AL212" s="61">
        <f t="shared" si="174"/>
        <v>0.35199999999999998</v>
      </c>
      <c r="AM212" s="61">
        <f t="shared" si="175"/>
        <v>7.2869999999999999</v>
      </c>
      <c r="AN212" s="90">
        <f t="shared" si="176"/>
        <v>0.01</v>
      </c>
      <c r="AO212" s="106"/>
      <c r="AP212" s="106"/>
      <c r="AQ212" s="106"/>
      <c r="AR212" s="106"/>
      <c r="AS212" s="106"/>
      <c r="AT212" s="106"/>
      <c r="AU212" s="106"/>
      <c r="AV212" s="106"/>
      <c r="AW212" s="106"/>
      <c r="AX212" s="106"/>
      <c r="AY212" s="106"/>
      <c r="AZ212" s="106"/>
      <c r="BA212" s="106"/>
      <c r="BB212" s="106"/>
      <c r="BC212" s="106"/>
      <c r="BD212" s="106"/>
      <c r="BE212" s="106"/>
      <c r="BF212" s="106"/>
      <c r="BG212" s="106"/>
      <c r="BH212" s="106"/>
      <c r="BI212" s="106"/>
      <c r="BJ212" s="106"/>
      <c r="BK212" s="106"/>
      <c r="BL212" s="106"/>
      <c r="BM212" s="106"/>
      <c r="BN212" s="106"/>
      <c r="BO212" s="106"/>
      <c r="BP212" s="106"/>
      <c r="BQ212" s="106"/>
      <c r="BR212" s="106"/>
      <c r="BS212" s="106"/>
      <c r="BT212" s="106"/>
    </row>
    <row r="213" spans="1:72" s="56" customFormat="1" ht="15" thickTop="1" x14ac:dyDescent="0.35">
      <c r="A213" s="66"/>
      <c r="B213" s="56">
        <v>227</v>
      </c>
      <c r="C213" s="57" t="s">
        <v>152</v>
      </c>
      <c r="D213" s="56" t="s">
        <v>148</v>
      </c>
      <c r="E213" s="56">
        <v>1</v>
      </c>
      <c r="F213" s="56">
        <v>982</v>
      </c>
      <c r="G213" s="56">
        <v>1</v>
      </c>
      <c r="H213" s="56">
        <v>100</v>
      </c>
      <c r="I213" s="56">
        <v>1</v>
      </c>
      <c r="J213" s="56">
        <v>5000</v>
      </c>
      <c r="K213" s="56">
        <v>65</v>
      </c>
      <c r="L213" s="56">
        <v>1</v>
      </c>
      <c r="M213" s="56">
        <f>(155+166+151+170)-(137+150.5+138+158)</f>
        <v>58.5</v>
      </c>
      <c r="R213" s="56">
        <f t="shared" si="164"/>
        <v>12.621359223300971</v>
      </c>
      <c r="S213" s="56">
        <f t="shared" si="165"/>
        <v>0.59731941425939283</v>
      </c>
      <c r="T213" s="56">
        <f t="shared" si="166"/>
        <v>3155.3398058252433</v>
      </c>
      <c r="U213" s="83">
        <f t="shared" si="168"/>
        <v>0.96966666666666668</v>
      </c>
      <c r="V213" s="83">
        <f t="shared" si="169"/>
        <v>0.97770941788925692</v>
      </c>
      <c r="W213" s="83">
        <f t="shared" si="170"/>
        <v>1</v>
      </c>
      <c r="X213" s="56">
        <v>1545</v>
      </c>
      <c r="Y213" s="56">
        <v>1388.5</v>
      </c>
      <c r="Z213" s="85">
        <f t="shared" si="163"/>
        <v>0.10129449838187699</v>
      </c>
      <c r="AA213" s="66"/>
      <c r="AB213" s="56">
        <v>9.1000000000000004E-3</v>
      </c>
      <c r="AC213" s="56">
        <v>0.14130000000000001</v>
      </c>
      <c r="AD213" s="86">
        <v>0</v>
      </c>
      <c r="AE213" s="66">
        <f t="shared" si="171"/>
        <v>9.1000000000000004E-3</v>
      </c>
      <c r="AF213" s="56">
        <f t="shared" si="172"/>
        <v>0.14130000000000001</v>
      </c>
      <c r="AG213" s="86" t="str">
        <f t="shared" si="173"/>
        <v>-</v>
      </c>
      <c r="AH213" s="66"/>
      <c r="AI213" s="120">
        <v>0.3</v>
      </c>
      <c r="AJ213" s="56">
        <v>6.3390000000000004</v>
      </c>
      <c r="AK213" s="86">
        <v>1.1999999999999999E-3</v>
      </c>
      <c r="AL213" s="56">
        <f t="shared" si="174"/>
        <v>0.3</v>
      </c>
      <c r="AM213" s="56">
        <f t="shared" si="175"/>
        <v>6.3390000000000004</v>
      </c>
      <c r="AN213" s="86">
        <f t="shared" si="176"/>
        <v>1.1999999999999999E-3</v>
      </c>
      <c r="AO213" s="107"/>
      <c r="AP213" s="107"/>
      <c r="AQ213" s="107"/>
      <c r="AR213" s="107"/>
      <c r="AS213" s="107"/>
      <c r="AT213" s="107"/>
      <c r="AU213" s="107"/>
      <c r="AV213" s="107"/>
      <c r="AW213" s="107"/>
      <c r="AX213" s="107"/>
      <c r="AY213" s="107"/>
      <c r="AZ213" s="107"/>
      <c r="BA213" s="107"/>
      <c r="BB213" s="107"/>
      <c r="BC213" s="107"/>
      <c r="BD213" s="107"/>
      <c r="BE213" s="107"/>
      <c r="BF213" s="107"/>
      <c r="BG213" s="107"/>
      <c r="BH213" s="107"/>
      <c r="BI213" s="107"/>
      <c r="BJ213" s="107"/>
      <c r="BK213" s="107"/>
      <c r="BL213" s="107"/>
      <c r="BM213" s="107"/>
      <c r="BN213" s="107"/>
      <c r="BO213" s="107"/>
      <c r="BP213" s="107"/>
      <c r="BQ213" s="107"/>
      <c r="BR213" s="107"/>
      <c r="BS213" s="107"/>
      <c r="BT213" s="107"/>
    </row>
    <row r="214" spans="1:72" s="11" customFormat="1" x14ac:dyDescent="0.35">
      <c r="A214" s="10"/>
      <c r="B214" s="11">
        <v>228</v>
      </c>
      <c r="C214" s="41" t="s">
        <v>153</v>
      </c>
      <c r="D214" s="11" t="s">
        <v>148</v>
      </c>
      <c r="E214" s="11">
        <v>1</v>
      </c>
      <c r="F214" s="11">
        <v>982</v>
      </c>
      <c r="G214" s="11">
        <v>2</v>
      </c>
      <c r="H214" s="11">
        <v>85</v>
      </c>
      <c r="I214" s="11">
        <v>1</v>
      </c>
      <c r="J214" s="11">
        <v>5000</v>
      </c>
      <c r="K214" s="11">
        <v>65</v>
      </c>
      <c r="L214" s="11">
        <v>1</v>
      </c>
      <c r="M214" s="11">
        <f>(150.5+156+166.5+177.5)-(129.5+138+158.5+174.5)</f>
        <v>50</v>
      </c>
      <c r="R214" s="11">
        <f t="shared" si="164"/>
        <v>9.7380465478624991</v>
      </c>
      <c r="S214" s="11">
        <f t="shared" si="165"/>
        <v>0.46086353752307141</v>
      </c>
      <c r="T214" s="11">
        <f t="shared" si="166"/>
        <v>2434.5116369656248</v>
      </c>
      <c r="U214" s="55">
        <f t="shared" si="168"/>
        <v>0.9893333333333334</v>
      </c>
      <c r="V214" s="55">
        <f t="shared" si="169"/>
        <v>0.98622811168954094</v>
      </c>
      <c r="W214" s="55">
        <f t="shared" si="170"/>
        <v>1</v>
      </c>
      <c r="X214" s="11">
        <v>1711.5</v>
      </c>
      <c r="Y214" s="11">
        <v>1473.5</v>
      </c>
      <c r="Z214" s="87">
        <f t="shared" si="163"/>
        <v>0.13905930470347649</v>
      </c>
      <c r="AA214" s="10"/>
      <c r="AB214" s="11">
        <v>3.2000000000000002E-3</v>
      </c>
      <c r="AC214" s="11">
        <v>8.7300000000000003E-2</v>
      </c>
      <c r="AD214" s="88">
        <v>0</v>
      </c>
      <c r="AE214" s="10">
        <f t="shared" si="171"/>
        <v>3.2000000000000002E-3</v>
      </c>
      <c r="AF214" s="11">
        <f t="shared" si="172"/>
        <v>8.7300000000000003E-2</v>
      </c>
      <c r="AG214" s="88" t="str">
        <f t="shared" si="173"/>
        <v>-</v>
      </c>
      <c r="AH214" s="10"/>
      <c r="AI214" s="121">
        <v>0.3</v>
      </c>
      <c r="AJ214" s="11">
        <v>6.3390000000000004</v>
      </c>
      <c r="AK214" s="88">
        <v>1.1999999999999999E-3</v>
      </c>
      <c r="AL214" s="11">
        <f t="shared" si="174"/>
        <v>0.3</v>
      </c>
      <c r="AM214" s="11">
        <f t="shared" si="175"/>
        <v>6.3390000000000004</v>
      </c>
      <c r="AN214" s="88">
        <f t="shared" si="176"/>
        <v>1.1999999999999999E-3</v>
      </c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</row>
    <row r="215" spans="1:72" s="11" customFormat="1" x14ac:dyDescent="0.35">
      <c r="A215" s="10"/>
      <c r="B215" s="11">
        <v>230</v>
      </c>
      <c r="C215" s="41" t="s">
        <v>153</v>
      </c>
      <c r="D215" s="11" t="s">
        <v>148</v>
      </c>
      <c r="E215" s="11">
        <v>1</v>
      </c>
      <c r="F215" s="11">
        <v>982</v>
      </c>
      <c r="G215" s="11">
        <v>4</v>
      </c>
      <c r="H215" s="11">
        <v>90</v>
      </c>
      <c r="I215" s="11">
        <v>1</v>
      </c>
      <c r="J215" s="11">
        <v>5000</v>
      </c>
      <c r="K215" s="11">
        <v>65</v>
      </c>
      <c r="L215" s="11">
        <v>1</v>
      </c>
      <c r="M215" s="11">
        <f>(171+166.5)-(146+141.5)</f>
        <v>50</v>
      </c>
      <c r="R215" s="11">
        <f t="shared" si="164"/>
        <v>8.9605734767025087</v>
      </c>
      <c r="S215" s="11">
        <f t="shared" si="165"/>
        <v>0.42406878734985842</v>
      </c>
      <c r="T215" s="11">
        <f t="shared" si="166"/>
        <v>2240.1433691756274</v>
      </c>
      <c r="U215" s="55">
        <f t="shared" si="168"/>
        <v>0.94600000000000006</v>
      </c>
      <c r="V215" s="55">
        <f t="shared" si="169"/>
        <v>0.96863858652784351</v>
      </c>
      <c r="W215" s="55">
        <f t="shared" si="170"/>
        <v>1</v>
      </c>
      <c r="X215" s="11">
        <v>1860</v>
      </c>
      <c r="Y215" s="11">
        <v>1629.5</v>
      </c>
      <c r="Z215" s="87">
        <f t="shared" si="163"/>
        <v>0.12392473118279568</v>
      </c>
      <c r="AA215" s="10"/>
      <c r="AB215" s="11">
        <v>1.6199999999999999E-2</v>
      </c>
      <c r="AC215" s="11">
        <v>0.1988</v>
      </c>
      <c r="AD215" s="88">
        <v>0</v>
      </c>
      <c r="AE215" s="10">
        <f t="shared" si="171"/>
        <v>1.6199999999999999E-2</v>
      </c>
      <c r="AF215" s="11">
        <f t="shared" si="172"/>
        <v>0.1988</v>
      </c>
      <c r="AG215" s="88" t="str">
        <f t="shared" si="173"/>
        <v>-</v>
      </c>
      <c r="AH215" s="10"/>
      <c r="AI215" s="121">
        <v>0.3</v>
      </c>
      <c r="AJ215" s="11">
        <v>6.3390000000000004</v>
      </c>
      <c r="AK215" s="88">
        <v>1.1999999999999999E-3</v>
      </c>
      <c r="AL215" s="11">
        <f t="shared" si="174"/>
        <v>0.3</v>
      </c>
      <c r="AM215" s="11">
        <f t="shared" si="175"/>
        <v>6.3390000000000004</v>
      </c>
      <c r="AN215" s="88">
        <f t="shared" si="176"/>
        <v>1.1999999999999999E-3</v>
      </c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</row>
    <row r="216" spans="1:72" s="11" customFormat="1" x14ac:dyDescent="0.35">
      <c r="A216" s="10"/>
      <c r="B216" s="11">
        <v>231</v>
      </c>
      <c r="C216" s="41" t="s">
        <v>153</v>
      </c>
      <c r="D216" s="11" t="s">
        <v>148</v>
      </c>
      <c r="E216" s="11">
        <v>1</v>
      </c>
      <c r="F216" s="11">
        <v>982</v>
      </c>
      <c r="G216" s="11">
        <v>5</v>
      </c>
      <c r="H216" s="11">
        <v>85</v>
      </c>
      <c r="I216" s="11">
        <v>1</v>
      </c>
      <c r="J216" s="11">
        <v>5000</v>
      </c>
      <c r="K216" s="11">
        <v>65</v>
      </c>
      <c r="L216" s="11">
        <v>1</v>
      </c>
      <c r="M216" s="11">
        <f>(175+186.5)-(150+161.5)</f>
        <v>50</v>
      </c>
      <c r="R216" s="11">
        <f t="shared" si="164"/>
        <v>9.6758587324625047</v>
      </c>
      <c r="S216" s="11">
        <f t="shared" si="165"/>
        <v>0.45792043220362072</v>
      </c>
      <c r="T216" s="11">
        <f t="shared" si="166"/>
        <v>2418.9646831156269</v>
      </c>
      <c r="U216" s="55">
        <f t="shared" si="168"/>
        <v>0.91666666666666663</v>
      </c>
      <c r="V216" s="55">
        <f t="shared" si="169"/>
        <v>0.95079665562391547</v>
      </c>
      <c r="W216" s="55">
        <f t="shared" si="170"/>
        <v>-1.9166666666666667</v>
      </c>
      <c r="X216" s="11">
        <v>1722.5</v>
      </c>
      <c r="Y216" s="11">
        <v>1553</v>
      </c>
      <c r="Z216" s="87">
        <f t="shared" si="163"/>
        <v>9.8403483309143724E-2</v>
      </c>
      <c r="AA216" s="10"/>
      <c r="AB216" s="108">
        <v>2.5000000000000001E-2</v>
      </c>
      <c r="AC216" s="11">
        <v>0.31190000000000001</v>
      </c>
      <c r="AD216" s="88">
        <v>3.5000000000000001E-3</v>
      </c>
      <c r="AE216" s="10">
        <f t="shared" si="171"/>
        <v>2.5000000000000001E-2</v>
      </c>
      <c r="AF216" s="11">
        <f t="shared" si="172"/>
        <v>0.31190000000000001</v>
      </c>
      <c r="AG216" s="88">
        <f t="shared" si="173"/>
        <v>3.5000000000000001E-3</v>
      </c>
      <c r="AH216" s="10"/>
      <c r="AI216" s="121">
        <v>0.3</v>
      </c>
      <c r="AJ216" s="11">
        <v>6.3390000000000004</v>
      </c>
      <c r="AK216" s="88">
        <v>1.1999999999999999E-3</v>
      </c>
      <c r="AL216" s="11">
        <f t="shared" si="174"/>
        <v>0.3</v>
      </c>
      <c r="AM216" s="11">
        <f t="shared" si="175"/>
        <v>6.3390000000000004</v>
      </c>
      <c r="AN216" s="88">
        <f t="shared" si="176"/>
        <v>1.1999999999999999E-3</v>
      </c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</row>
    <row r="217" spans="1:72" s="11" customFormat="1" x14ac:dyDescent="0.35">
      <c r="A217" s="10"/>
      <c r="B217" s="11">
        <v>232</v>
      </c>
      <c r="C217" s="41" t="s">
        <v>153</v>
      </c>
      <c r="D217" s="11" t="s">
        <v>148</v>
      </c>
      <c r="E217" s="11">
        <v>1</v>
      </c>
      <c r="F217" s="11">
        <v>982</v>
      </c>
      <c r="G217" s="11">
        <v>6</v>
      </c>
      <c r="H217" s="11">
        <v>110</v>
      </c>
      <c r="I217" s="11">
        <v>2</v>
      </c>
      <c r="J217" s="11">
        <v>5000</v>
      </c>
      <c r="K217" s="11">
        <v>65</v>
      </c>
      <c r="L217" s="11">
        <v>1</v>
      </c>
      <c r="M217" s="11">
        <f>(154.5+158.5)-(127.5+132)</f>
        <v>53.5</v>
      </c>
      <c r="R217" s="11">
        <f t="shared" si="164"/>
        <v>10.329182353509026</v>
      </c>
      <c r="S217" s="11">
        <f t="shared" si="165"/>
        <v>0.48883967598244327</v>
      </c>
      <c r="T217" s="11">
        <f t="shared" si="166"/>
        <v>2582.295588377257</v>
      </c>
      <c r="U217" s="55">
        <f t="shared" si="168"/>
        <v>0.94566666666666677</v>
      </c>
      <c r="V217" s="55">
        <f t="shared" si="169"/>
        <v>0.96437923962770156</v>
      </c>
      <c r="W217" s="55">
        <f t="shared" si="170"/>
        <v>-1.4166666666666667</v>
      </c>
      <c r="X217" s="11">
        <v>1726.5</v>
      </c>
      <c r="Y217" s="11">
        <v>1583.5</v>
      </c>
      <c r="Z217" s="87">
        <f t="shared" si="163"/>
        <v>8.2826527657109739E-2</v>
      </c>
      <c r="AA217" s="10"/>
      <c r="AB217" s="108">
        <v>1.6299999999999999E-2</v>
      </c>
      <c r="AC217" s="11">
        <v>0.2258</v>
      </c>
      <c r="AD217" s="88">
        <v>2.8999999999999998E-3</v>
      </c>
      <c r="AE217" s="10">
        <f t="shared" si="171"/>
        <v>1.6299999999999999E-2</v>
      </c>
      <c r="AF217" s="11">
        <f t="shared" si="172"/>
        <v>0.2258</v>
      </c>
      <c r="AG217" s="88">
        <f t="shared" si="173"/>
        <v>2.8999999999999998E-3</v>
      </c>
      <c r="AH217" s="10"/>
      <c r="AI217" s="121">
        <v>0.3</v>
      </c>
      <c r="AJ217" s="11">
        <v>6.3390000000000004</v>
      </c>
      <c r="AK217" s="88">
        <v>1.1999999999999999E-3</v>
      </c>
      <c r="AL217" s="11">
        <f t="shared" si="174"/>
        <v>0.3</v>
      </c>
      <c r="AM217" s="11">
        <f t="shared" si="175"/>
        <v>6.3390000000000004</v>
      </c>
      <c r="AN217" s="88">
        <f t="shared" si="176"/>
        <v>1.1999999999999999E-3</v>
      </c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</row>
    <row r="218" spans="1:72" s="11" customFormat="1" x14ac:dyDescent="0.35">
      <c r="A218" s="10"/>
      <c r="B218" s="11">
        <v>233</v>
      </c>
      <c r="C218" s="41" t="s">
        <v>154</v>
      </c>
      <c r="D218" s="11" t="s">
        <v>148</v>
      </c>
      <c r="E218" s="11">
        <v>1</v>
      </c>
      <c r="F218" s="11">
        <v>982</v>
      </c>
      <c r="G218" s="11">
        <v>7</v>
      </c>
      <c r="H218" s="11">
        <v>90</v>
      </c>
      <c r="I218" s="11">
        <v>1</v>
      </c>
      <c r="J218" s="11">
        <v>5000</v>
      </c>
      <c r="K218" s="11">
        <v>65</v>
      </c>
      <c r="L218" s="11">
        <v>1</v>
      </c>
      <c r="M218" s="11">
        <f>(127.5+132+162.5+171)-(123.5+127+140.5+150.5)</f>
        <v>51.5</v>
      </c>
      <c r="R218" s="11">
        <f t="shared" si="164"/>
        <v>9.9806201550387588</v>
      </c>
      <c r="S218" s="11">
        <f t="shared" si="165"/>
        <v>0.47234359465398768</v>
      </c>
      <c r="T218" s="11">
        <f t="shared" si="166"/>
        <v>2495.1550387596899</v>
      </c>
      <c r="U218" s="55">
        <f t="shared" si="168"/>
        <v>0.877</v>
      </c>
      <c r="V218" s="55">
        <f t="shared" si="169"/>
        <v>0.93282852184887211</v>
      </c>
      <c r="W218" s="55">
        <f t="shared" si="170"/>
        <v>-2.5000000000000004</v>
      </c>
      <c r="X218" s="11">
        <v>1720</v>
      </c>
      <c r="Y218" s="11">
        <v>1570.5</v>
      </c>
      <c r="Z218" s="87">
        <f t="shared" si="163"/>
        <v>8.6918604651162745E-2</v>
      </c>
      <c r="AA218" s="10"/>
      <c r="AB218" s="11">
        <v>3.6900000000000002E-2</v>
      </c>
      <c r="AC218" s="11">
        <v>0.42580000000000001</v>
      </c>
      <c r="AD218" s="88">
        <v>4.1999999999999997E-3</v>
      </c>
      <c r="AE218" s="10">
        <f t="shared" si="171"/>
        <v>3.6900000000000002E-2</v>
      </c>
      <c r="AF218" s="11">
        <f t="shared" si="172"/>
        <v>0.42580000000000001</v>
      </c>
      <c r="AG218" s="88">
        <f t="shared" si="173"/>
        <v>4.1999999999999997E-3</v>
      </c>
      <c r="AH218" s="10"/>
      <c r="AI218" s="121">
        <v>0.3</v>
      </c>
      <c r="AJ218" s="11">
        <v>6.3390000000000004</v>
      </c>
      <c r="AK218" s="88">
        <v>1.1999999999999999E-3</v>
      </c>
      <c r="AL218" s="11">
        <f t="shared" si="174"/>
        <v>0.3</v>
      </c>
      <c r="AM218" s="11">
        <f t="shared" si="175"/>
        <v>6.3390000000000004</v>
      </c>
      <c r="AN218" s="88">
        <f t="shared" si="176"/>
        <v>1.1999999999999999E-3</v>
      </c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</row>
    <row r="219" spans="1:72" s="11" customFormat="1" x14ac:dyDescent="0.35">
      <c r="A219" s="10"/>
      <c r="B219" s="11">
        <v>234</v>
      </c>
      <c r="C219" s="41" t="s">
        <v>154</v>
      </c>
      <c r="D219" s="11" t="s">
        <v>148</v>
      </c>
      <c r="E219" s="11">
        <v>1</v>
      </c>
      <c r="F219" s="11">
        <v>982</v>
      </c>
      <c r="G219" s="11">
        <v>8</v>
      </c>
      <c r="H219" s="11">
        <v>100</v>
      </c>
      <c r="I219" s="11">
        <v>2</v>
      </c>
      <c r="J219" s="11">
        <v>5000</v>
      </c>
      <c r="K219" s="11">
        <v>65</v>
      </c>
      <c r="L219" s="11">
        <v>1</v>
      </c>
      <c r="M219" s="11">
        <f>(173+163.5+140.5+150+170.5+172)-(144+164+132+142.5+168.5+168.5)</f>
        <v>50</v>
      </c>
      <c r="R219" s="11">
        <f t="shared" si="164"/>
        <v>10.228086325048583</v>
      </c>
      <c r="S219" s="11">
        <f t="shared" si="165"/>
        <v>0.48405519758866938</v>
      </c>
      <c r="T219" s="11">
        <f t="shared" si="166"/>
        <v>2557.0215812621459</v>
      </c>
      <c r="U219" s="55">
        <f t="shared" si="168"/>
        <v>0.97366666666666657</v>
      </c>
      <c r="V219" s="55">
        <f t="shared" si="169"/>
        <v>0.97835620760372299</v>
      </c>
      <c r="W219" s="55">
        <f t="shared" si="170"/>
        <v>1</v>
      </c>
      <c r="X219" s="11">
        <v>1629.5</v>
      </c>
      <c r="Y219" s="11">
        <v>1473.5</v>
      </c>
      <c r="Z219" s="87">
        <f t="shared" si="163"/>
        <v>9.5734888002454777E-2</v>
      </c>
      <c r="AA219" s="10"/>
      <c r="AB219" s="11">
        <v>7.9000000000000008E-3</v>
      </c>
      <c r="AC219" s="11">
        <v>0.13719999999999999</v>
      </c>
      <c r="AD219" s="88">
        <v>0</v>
      </c>
      <c r="AE219" s="10">
        <f t="shared" si="171"/>
        <v>7.9000000000000008E-3</v>
      </c>
      <c r="AF219" s="11">
        <f t="shared" si="172"/>
        <v>0.13719999999999999</v>
      </c>
      <c r="AG219" s="88" t="str">
        <f t="shared" si="173"/>
        <v>-</v>
      </c>
      <c r="AH219" s="10"/>
      <c r="AI219" s="121">
        <v>0.3</v>
      </c>
      <c r="AJ219" s="11">
        <v>6.3390000000000004</v>
      </c>
      <c r="AK219" s="88">
        <v>1.1999999999999999E-3</v>
      </c>
      <c r="AL219" s="11">
        <f t="shared" si="174"/>
        <v>0.3</v>
      </c>
      <c r="AM219" s="11">
        <f t="shared" si="175"/>
        <v>6.3390000000000004</v>
      </c>
      <c r="AN219" s="88">
        <f t="shared" si="176"/>
        <v>1.1999999999999999E-3</v>
      </c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</row>
    <row r="220" spans="1:72" s="61" customFormat="1" ht="15" thickBot="1" x14ac:dyDescent="0.4">
      <c r="A220" s="68"/>
      <c r="B220" s="61">
        <v>235</v>
      </c>
      <c r="C220" s="62" t="s">
        <v>154</v>
      </c>
      <c r="D220" s="61" t="s">
        <v>148</v>
      </c>
      <c r="E220" s="61">
        <v>1</v>
      </c>
      <c r="F220" s="61">
        <v>982</v>
      </c>
      <c r="G220" s="61">
        <v>9</v>
      </c>
      <c r="H220" s="61">
        <v>90</v>
      </c>
      <c r="I220" s="61">
        <v>1</v>
      </c>
      <c r="J220" s="61">
        <v>5000</v>
      </c>
      <c r="K220" s="61">
        <v>65</v>
      </c>
      <c r="L220" s="61">
        <v>1</v>
      </c>
      <c r="M220" s="61">
        <f>(168.5+168.5)-(144+142.5)</f>
        <v>50.5</v>
      </c>
      <c r="R220" s="61">
        <f t="shared" si="164"/>
        <v>10.403790688092295</v>
      </c>
      <c r="S220" s="61">
        <f t="shared" si="165"/>
        <v>0.49237059574502107</v>
      </c>
      <c r="T220" s="61">
        <f t="shared" si="166"/>
        <v>2600.9476720230737</v>
      </c>
      <c r="U220" s="84">
        <f t="shared" si="168"/>
        <v>0.95633333333333337</v>
      </c>
      <c r="V220" s="84">
        <f t="shared" si="169"/>
        <v>0.9725824262501972</v>
      </c>
      <c r="W220" s="84">
        <f t="shared" si="170"/>
        <v>1</v>
      </c>
      <c r="X220" s="61">
        <v>1618</v>
      </c>
      <c r="Y220" s="61">
        <v>1461.5</v>
      </c>
      <c r="Z220" s="89">
        <f t="shared" si="163"/>
        <v>9.6724351050679891E-2</v>
      </c>
      <c r="AA220" s="68"/>
      <c r="AB220" s="61">
        <v>1.3100000000000001E-2</v>
      </c>
      <c r="AC220" s="61">
        <v>0.17380000000000001</v>
      </c>
      <c r="AD220" s="90">
        <v>0</v>
      </c>
      <c r="AE220" s="68">
        <f t="shared" si="171"/>
        <v>1.3100000000000001E-2</v>
      </c>
      <c r="AF220" s="61">
        <f t="shared" si="172"/>
        <v>0.17380000000000001</v>
      </c>
      <c r="AG220" s="90" t="str">
        <f t="shared" si="173"/>
        <v>-</v>
      </c>
      <c r="AH220" s="68"/>
      <c r="AI220" s="122">
        <v>0.3</v>
      </c>
      <c r="AJ220" s="61">
        <v>6.3390000000000004</v>
      </c>
      <c r="AK220" s="90">
        <v>1.1999999999999999E-3</v>
      </c>
      <c r="AL220" s="61">
        <f t="shared" si="174"/>
        <v>0.3</v>
      </c>
      <c r="AM220" s="61">
        <f t="shared" si="175"/>
        <v>6.3390000000000004</v>
      </c>
      <c r="AN220" s="90">
        <f t="shared" si="176"/>
        <v>1.1999999999999999E-3</v>
      </c>
      <c r="AO220" s="106"/>
      <c r="AP220" s="106"/>
      <c r="AQ220" s="106"/>
      <c r="AR220" s="106"/>
      <c r="AS220" s="106"/>
      <c r="AT220" s="106"/>
      <c r="AU220" s="106"/>
      <c r="AV220" s="106"/>
      <c r="AW220" s="106"/>
      <c r="AX220" s="106"/>
      <c r="AY220" s="106"/>
      <c r="AZ220" s="106"/>
      <c r="BA220" s="106"/>
      <c r="BB220" s="106"/>
      <c r="BC220" s="106"/>
      <c r="BD220" s="106"/>
      <c r="BE220" s="106"/>
      <c r="BF220" s="106"/>
      <c r="BG220" s="106"/>
      <c r="BH220" s="106"/>
      <c r="BI220" s="106"/>
      <c r="BJ220" s="106"/>
      <c r="BK220" s="106"/>
      <c r="BL220" s="106"/>
      <c r="BM220" s="106"/>
      <c r="BN220" s="106"/>
      <c r="BO220" s="106"/>
      <c r="BP220" s="106"/>
      <c r="BQ220" s="106"/>
      <c r="BR220" s="106"/>
      <c r="BS220" s="106"/>
      <c r="BT220" s="106"/>
    </row>
    <row r="221" spans="1:72" s="56" customFormat="1" ht="15" thickTop="1" x14ac:dyDescent="0.35">
      <c r="A221" s="66"/>
      <c r="B221" s="56">
        <v>236</v>
      </c>
      <c r="C221" s="57" t="s">
        <v>158</v>
      </c>
      <c r="D221" s="56" t="s">
        <v>43</v>
      </c>
      <c r="E221" s="56">
        <v>1</v>
      </c>
      <c r="F221" s="56">
        <v>984</v>
      </c>
      <c r="G221" s="56">
        <v>1</v>
      </c>
      <c r="H221" s="56">
        <v>100</v>
      </c>
      <c r="I221" s="56">
        <v>1</v>
      </c>
      <c r="J221" s="56">
        <v>5000</v>
      </c>
      <c r="K221" s="56">
        <v>65</v>
      </c>
      <c r="L221" s="56">
        <v>1</v>
      </c>
      <c r="M221" s="56">
        <f>(144+142.5+137.5+155.5+0+157.5+185+162.5+182.5)-(143+142+131+149+0+162.5+182.5+0+136+160)</f>
        <v>61</v>
      </c>
      <c r="R221" s="56">
        <f t="shared" si="164"/>
        <v>7.5441586816075645</v>
      </c>
      <c r="S221" s="56">
        <f t="shared" si="165"/>
        <v>0.28225645900526852</v>
      </c>
      <c r="T221" s="56">
        <f t="shared" si="166"/>
        <v>388.90907815797362</v>
      </c>
      <c r="U221" s="83">
        <f t="shared" si="168"/>
        <v>0.94061757719714956</v>
      </c>
      <c r="V221" s="83">
        <f t="shared" si="169"/>
        <v>0.96794045767607195</v>
      </c>
      <c r="W221" s="83">
        <f t="shared" si="170"/>
        <v>1</v>
      </c>
      <c r="X221" s="56">
        <v>1600.5</v>
      </c>
      <c r="Y221" s="56">
        <f>1349.5-57</f>
        <v>1292.5</v>
      </c>
      <c r="Z221" s="85">
        <f t="shared" si="163"/>
        <v>0.19243986254295531</v>
      </c>
      <c r="AA221" s="66"/>
      <c r="AB221" s="109">
        <v>0.03</v>
      </c>
      <c r="AC221" s="56">
        <v>0.43290000000000001</v>
      </c>
      <c r="AD221" s="86">
        <v>0</v>
      </c>
      <c r="AE221" s="66">
        <f t="shared" si="171"/>
        <v>0.03</v>
      </c>
      <c r="AF221" s="56">
        <f t="shared" si="172"/>
        <v>0.43290000000000001</v>
      </c>
      <c r="AG221" s="86" t="str">
        <f t="shared" si="173"/>
        <v>-</v>
      </c>
      <c r="AH221" s="66"/>
      <c r="AI221" s="56">
        <v>0.50519999999999998</v>
      </c>
      <c r="AJ221" s="56">
        <v>13.503</v>
      </c>
      <c r="AK221" s="86">
        <v>9.7999999999999997E-3</v>
      </c>
      <c r="AL221" s="66">
        <f t="shared" si="174"/>
        <v>0.50519999999999998</v>
      </c>
      <c r="AM221" s="56">
        <f t="shared" si="175"/>
        <v>13.503</v>
      </c>
      <c r="AN221" s="86">
        <f t="shared" si="176"/>
        <v>9.7999999999999997E-3</v>
      </c>
      <c r="AO221" s="107"/>
      <c r="AP221" s="107"/>
      <c r="AQ221" s="107"/>
      <c r="AR221" s="107"/>
      <c r="AS221" s="107"/>
      <c r="AT221" s="107"/>
      <c r="AU221" s="107"/>
      <c r="AV221" s="107"/>
      <c r="AW221" s="107"/>
      <c r="AX221" s="107"/>
      <c r="AY221" s="107"/>
      <c r="AZ221" s="107"/>
      <c r="BA221" s="107"/>
      <c r="BB221" s="107"/>
      <c r="BC221" s="107"/>
      <c r="BD221" s="107"/>
      <c r="BE221" s="107"/>
      <c r="BF221" s="107"/>
      <c r="BG221" s="107"/>
      <c r="BH221" s="107"/>
      <c r="BI221" s="107"/>
      <c r="BJ221" s="107"/>
      <c r="BK221" s="107"/>
      <c r="BL221" s="107"/>
      <c r="BM221" s="107"/>
      <c r="BN221" s="107"/>
      <c r="BO221" s="107"/>
      <c r="BP221" s="107"/>
      <c r="BQ221" s="107"/>
      <c r="BR221" s="107"/>
      <c r="BS221" s="107"/>
      <c r="BT221" s="107"/>
    </row>
    <row r="222" spans="1:72" s="11" customFormat="1" x14ac:dyDescent="0.35">
      <c r="A222" s="10"/>
      <c r="B222" s="11">
        <v>234</v>
      </c>
      <c r="C222" s="41" t="s">
        <v>158</v>
      </c>
      <c r="D222" s="11" t="s">
        <v>43</v>
      </c>
      <c r="E222" s="11">
        <v>1</v>
      </c>
      <c r="F222" s="11">
        <v>984</v>
      </c>
      <c r="G222" s="11">
        <v>2</v>
      </c>
      <c r="H222" s="11">
        <f>100-16</f>
        <v>84</v>
      </c>
      <c r="I222" s="11">
        <v>2</v>
      </c>
      <c r="J222" s="11">
        <v>5000</v>
      </c>
      <c r="K222" s="11">
        <v>65</v>
      </c>
      <c r="L222" s="11">
        <v>1</v>
      </c>
      <c r="M222" s="11">
        <f>(136+160+163+182.5)-(131.5+154.5+0+143+162)</f>
        <v>50.5</v>
      </c>
      <c r="R222" s="11">
        <f t="shared" si="164"/>
        <v>6.7132580065904257</v>
      </c>
      <c r="S222" s="11">
        <f t="shared" si="165"/>
        <v>0.25116921757605587</v>
      </c>
      <c r="T222" s="11">
        <f t="shared" si="166"/>
        <v>346.07530050300846</v>
      </c>
      <c r="U222" s="55">
        <f t="shared" si="168"/>
        <v>0.96575613618368972</v>
      </c>
      <c r="V222" s="55">
        <f t="shared" si="169"/>
        <v>0.97677553136340078</v>
      </c>
      <c r="W222" s="55">
        <f t="shared" si="170"/>
        <v>1</v>
      </c>
      <c r="X222" s="11">
        <v>1489</v>
      </c>
      <c r="Y222" s="11">
        <f>1272-57</f>
        <v>1215</v>
      </c>
      <c r="Z222" s="87">
        <f t="shared" si="163"/>
        <v>0.1840161182001343</v>
      </c>
      <c r="AA222" s="10"/>
      <c r="AB222" s="11">
        <v>1.7299999999999999E-2</v>
      </c>
      <c r="AC222" s="11">
        <v>0.31359999999999999</v>
      </c>
      <c r="AD222" s="88">
        <v>0</v>
      </c>
      <c r="AE222" s="10">
        <f t="shared" si="171"/>
        <v>1.7299999999999999E-2</v>
      </c>
      <c r="AF222" s="11">
        <f t="shared" si="172"/>
        <v>0.31359999999999999</v>
      </c>
      <c r="AG222" s="88" t="str">
        <f t="shared" si="173"/>
        <v>-</v>
      </c>
      <c r="AH222" s="10"/>
      <c r="AI222" s="11">
        <v>0.50519999999999998</v>
      </c>
      <c r="AJ222" s="11">
        <v>13.503</v>
      </c>
      <c r="AK222" s="88">
        <v>9.7999999999999997E-3</v>
      </c>
      <c r="AL222" s="10">
        <f t="shared" si="174"/>
        <v>0.50519999999999998</v>
      </c>
      <c r="AM222" s="11">
        <f t="shared" si="175"/>
        <v>13.503</v>
      </c>
      <c r="AN222" s="88">
        <f t="shared" si="176"/>
        <v>9.7999999999999997E-3</v>
      </c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</row>
    <row r="223" spans="1:72" s="11" customFormat="1" x14ac:dyDescent="0.35">
      <c r="A223" s="10"/>
      <c r="B223" s="11">
        <v>235</v>
      </c>
      <c r="C223" s="41" t="s">
        <v>158</v>
      </c>
      <c r="D223" s="11" t="s">
        <v>43</v>
      </c>
      <c r="E223" s="11">
        <v>1</v>
      </c>
      <c r="F223" s="11">
        <v>984</v>
      </c>
      <c r="G223" s="11">
        <v>3</v>
      </c>
      <c r="H223" s="11">
        <v>100</v>
      </c>
      <c r="I223" s="11">
        <v>1</v>
      </c>
      <c r="J223" s="11">
        <v>5000</v>
      </c>
      <c r="K223" s="54">
        <v>45</v>
      </c>
      <c r="L223" s="11">
        <v>1</v>
      </c>
      <c r="M223" s="11">
        <f>(143+162+0+144+151)-(135.5+154+0+129+131)</f>
        <v>50.5</v>
      </c>
      <c r="Q223" s="11" t="s">
        <v>160</v>
      </c>
      <c r="R223" s="11">
        <f t="shared" si="164"/>
        <v>6.5850073595607004</v>
      </c>
      <c r="S223" s="11">
        <f t="shared" si="165"/>
        <v>0.24637085966452385</v>
      </c>
      <c r="T223" s="11">
        <f t="shared" si="166"/>
        <v>339.46384878061895</v>
      </c>
      <c r="U223" s="55">
        <f t="shared" si="168"/>
        <v>0.8165083135391924</v>
      </c>
      <c r="V223" s="55">
        <f t="shared" si="169"/>
        <v>0.91661112345404727</v>
      </c>
      <c r="W223" s="55">
        <f t="shared" si="170"/>
        <v>1</v>
      </c>
      <c r="X223" s="11">
        <v>1518</v>
      </c>
      <c r="Y223" s="11">
        <f>1321.5-57</f>
        <v>1264.5</v>
      </c>
      <c r="Z223" s="87">
        <f t="shared" si="163"/>
        <v>0.16699604743083007</v>
      </c>
      <c r="AA223" s="10"/>
      <c r="AB223" s="11">
        <v>9.2700000000000005E-2</v>
      </c>
      <c r="AC223" s="108">
        <v>1.1259999999999999</v>
      </c>
      <c r="AD223" s="88">
        <v>0</v>
      </c>
      <c r="AE223" s="10">
        <f t="shared" si="171"/>
        <v>9.2700000000000005E-2</v>
      </c>
      <c r="AF223" s="11">
        <f t="shared" si="172"/>
        <v>1.1259999999999999</v>
      </c>
      <c r="AG223" s="88" t="str">
        <f t="shared" si="173"/>
        <v>-</v>
      </c>
      <c r="AH223" s="10"/>
      <c r="AI223" s="11">
        <v>0.50519999999999998</v>
      </c>
      <c r="AJ223" s="11">
        <v>13.503</v>
      </c>
      <c r="AK223" s="88">
        <v>9.7999999999999997E-3</v>
      </c>
      <c r="AL223" s="10">
        <f t="shared" si="174"/>
        <v>0.50519999999999998</v>
      </c>
      <c r="AM223" s="11">
        <f t="shared" si="175"/>
        <v>13.503</v>
      </c>
      <c r="AN223" s="88">
        <f t="shared" si="176"/>
        <v>9.7999999999999997E-3</v>
      </c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</row>
    <row r="224" spans="1:72" s="11" customFormat="1" x14ac:dyDescent="0.35">
      <c r="A224" s="10"/>
      <c r="B224" s="11">
        <v>236</v>
      </c>
      <c r="C224" s="41" t="s">
        <v>158</v>
      </c>
      <c r="D224" s="11" t="s">
        <v>43</v>
      </c>
      <c r="E224" s="11">
        <v>1</v>
      </c>
      <c r="F224" s="11">
        <v>984</v>
      </c>
      <c r="G224" s="11">
        <v>4</v>
      </c>
      <c r="H224" s="11">
        <v>117</v>
      </c>
      <c r="I224" s="11">
        <v>2</v>
      </c>
      <c r="J224" s="11">
        <v>5000</v>
      </c>
      <c r="K224" s="54">
        <v>45</v>
      </c>
      <c r="L224" s="11">
        <v>1</v>
      </c>
      <c r="M224" s="11">
        <f>(129+131+175.5+178.5+0+145.5+172+173+150+0+123+148+148+142.5)-(123.5+125.5+175+179+0+141+165.5+165.5+148.5+114.5+139+141+138.5)</f>
        <v>59.5</v>
      </c>
      <c r="Q224" s="11" t="s">
        <v>160</v>
      </c>
      <c r="R224" s="11">
        <f t="shared" si="164"/>
        <v>7.4706716497929939</v>
      </c>
      <c r="S224" s="11">
        <f t="shared" si="165"/>
        <v>0.27950702195626304</v>
      </c>
      <c r="T224" s="11">
        <f t="shared" si="166"/>
        <v>385.12074668116531</v>
      </c>
      <c r="U224" s="55">
        <f t="shared" si="168"/>
        <v>0.95150435471100547</v>
      </c>
      <c r="V224" s="55">
        <f t="shared" si="169"/>
        <v>0.98193734725616533</v>
      </c>
      <c r="W224" s="55">
        <f t="shared" si="170"/>
        <v>1</v>
      </c>
      <c r="X224" s="11">
        <v>1576.5</v>
      </c>
      <c r="Y224" s="11">
        <f>1323.5-57</f>
        <v>1266.5</v>
      </c>
      <c r="Z224" s="87">
        <f t="shared" si="163"/>
        <v>0.19663812242308909</v>
      </c>
      <c r="AA224" s="10"/>
      <c r="AB224" s="11">
        <v>2.4500000000000001E-2</v>
      </c>
      <c r="AC224" s="11">
        <v>0.24390000000000001</v>
      </c>
      <c r="AD224" s="88">
        <v>0</v>
      </c>
      <c r="AE224" s="10">
        <f t="shared" si="171"/>
        <v>2.4500000000000001E-2</v>
      </c>
      <c r="AF224" s="11">
        <f t="shared" si="172"/>
        <v>0.24390000000000001</v>
      </c>
      <c r="AG224" s="88" t="str">
        <f t="shared" si="173"/>
        <v>-</v>
      </c>
      <c r="AH224" s="10"/>
      <c r="AI224" s="11">
        <v>0.50519999999999998</v>
      </c>
      <c r="AJ224" s="11">
        <v>13.503</v>
      </c>
      <c r="AK224" s="88">
        <v>9.7999999999999997E-3</v>
      </c>
      <c r="AL224" s="10">
        <f t="shared" si="174"/>
        <v>0.50519999999999998</v>
      </c>
      <c r="AM224" s="11">
        <f t="shared" si="175"/>
        <v>13.503</v>
      </c>
      <c r="AN224" s="88">
        <f t="shared" si="176"/>
        <v>9.7999999999999997E-3</v>
      </c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</row>
    <row r="225" spans="1:72" s="11" customFormat="1" x14ac:dyDescent="0.35">
      <c r="A225" s="10"/>
      <c r="B225" s="11">
        <v>237</v>
      </c>
      <c r="C225" s="41" t="s">
        <v>158</v>
      </c>
      <c r="D225" s="11" t="s">
        <v>43</v>
      </c>
      <c r="E225" s="11">
        <v>1</v>
      </c>
      <c r="F225" s="11">
        <v>984</v>
      </c>
      <c r="G225" s="11">
        <v>5</v>
      </c>
      <c r="H225" s="11">
        <v>130</v>
      </c>
      <c r="I225" s="11">
        <v>1</v>
      </c>
      <c r="J225" s="11">
        <v>5000</v>
      </c>
      <c r="K225" s="11">
        <v>65</v>
      </c>
      <c r="L225" s="11">
        <v>1</v>
      </c>
      <c r="M225" s="11">
        <f>(141+165.5+165.5+148.5)-(123+148+148+142.5)</f>
        <v>59</v>
      </c>
      <c r="Q225" s="11" t="s">
        <v>170</v>
      </c>
      <c r="R225" s="11">
        <f t="shared" si="164"/>
        <v>8.456584468665632</v>
      </c>
      <c r="S225" s="11">
        <f t="shared" si="165"/>
        <v>0.31639387347773651</v>
      </c>
      <c r="T225" s="11">
        <f t="shared" si="166"/>
        <v>435.94555852753848</v>
      </c>
      <c r="U225" s="55">
        <f t="shared" si="168"/>
        <v>0.92755344418052255</v>
      </c>
      <c r="V225" s="55">
        <f t="shared" si="169"/>
        <v>0.96608901725542473</v>
      </c>
      <c r="W225" s="55">
        <f t="shared" si="170"/>
        <v>1</v>
      </c>
      <c r="X225" s="11">
        <v>1381</v>
      </c>
      <c r="Y225" s="11">
        <f>1171.5-57</f>
        <v>1114.5</v>
      </c>
      <c r="Z225" s="87">
        <f>IF(Y225,1-Y225/X225,"-")</f>
        <v>0.19297610427226652</v>
      </c>
      <c r="AA225" s="10"/>
      <c r="AB225" s="11">
        <v>3.6600000000000001E-2</v>
      </c>
      <c r="AC225" s="11">
        <v>0.45789999999999997</v>
      </c>
      <c r="AD225" s="88">
        <v>0</v>
      </c>
      <c r="AE225" s="10">
        <f t="shared" si="171"/>
        <v>3.6600000000000001E-2</v>
      </c>
      <c r="AF225" s="11">
        <f t="shared" si="172"/>
        <v>0.45789999999999997</v>
      </c>
      <c r="AG225" s="88" t="str">
        <f t="shared" si="173"/>
        <v>-</v>
      </c>
      <c r="AH225" s="10"/>
      <c r="AI225" s="11">
        <v>0.50519999999999998</v>
      </c>
      <c r="AJ225" s="11">
        <v>13.503</v>
      </c>
      <c r="AK225" s="88">
        <v>9.7999999999999997E-3</v>
      </c>
      <c r="AL225" s="10">
        <f t="shared" si="174"/>
        <v>0.50519999999999998</v>
      </c>
      <c r="AM225" s="11">
        <f t="shared" si="175"/>
        <v>13.503</v>
      </c>
      <c r="AN225" s="88">
        <f t="shared" si="176"/>
        <v>9.7999999999999997E-3</v>
      </c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</row>
    <row r="226" spans="1:72" s="11" customFormat="1" x14ac:dyDescent="0.35">
      <c r="A226" s="10"/>
      <c r="B226" s="11">
        <v>238</v>
      </c>
      <c r="C226" s="41" t="s">
        <v>161</v>
      </c>
      <c r="D226" s="11" t="s">
        <v>43</v>
      </c>
      <c r="E226" s="11">
        <v>1</v>
      </c>
      <c r="F226" s="11">
        <v>984</v>
      </c>
      <c r="G226" s="11">
        <v>6</v>
      </c>
      <c r="H226" s="11">
        <f>100+21</f>
        <v>121</v>
      </c>
      <c r="I226" s="11">
        <v>1</v>
      </c>
      <c r="J226" s="11">
        <v>5000</v>
      </c>
      <c r="K226" s="11">
        <v>65</v>
      </c>
      <c r="L226" s="11">
        <v>1</v>
      </c>
      <c r="M226" s="11">
        <f>(114.5+139+141+138.5+0+156+180+178+126)-(114+139+139+134+0+133.5+157.5+179+125.5)</f>
        <v>51.5</v>
      </c>
      <c r="R226" s="11">
        <f t="shared" si="164"/>
        <v>6.7198303105840322</v>
      </c>
      <c r="S226" s="11">
        <f t="shared" si="165"/>
        <v>0.25141511315315507</v>
      </c>
      <c r="T226" s="11">
        <f t="shared" si="166"/>
        <v>346.41410948031159</v>
      </c>
      <c r="U226" s="55">
        <f t="shared" si="168"/>
        <v>0.88578780680918456</v>
      </c>
      <c r="V226" s="55">
        <f t="shared" si="169"/>
        <v>0.94825594312375028</v>
      </c>
      <c r="W226" s="55">
        <f t="shared" si="170"/>
        <v>1</v>
      </c>
      <c r="X226" s="11">
        <v>1517</v>
      </c>
      <c r="Y226" s="11">
        <v>1230.5</v>
      </c>
      <c r="Z226" s="87">
        <f t="shared" si="163"/>
        <v>0.18885959129861574</v>
      </c>
      <c r="AA226" s="10"/>
      <c r="AB226" s="11">
        <v>5.7700000000000001E-2</v>
      </c>
      <c r="AC226" s="11">
        <v>0.69869999999999999</v>
      </c>
      <c r="AD226" s="88">
        <v>0</v>
      </c>
      <c r="AE226" s="10">
        <f t="shared" si="171"/>
        <v>5.7700000000000001E-2</v>
      </c>
      <c r="AF226" s="11">
        <f t="shared" si="172"/>
        <v>0.69869999999999999</v>
      </c>
      <c r="AG226" s="88" t="str">
        <f t="shared" si="173"/>
        <v>-</v>
      </c>
      <c r="AH226" s="10"/>
      <c r="AI226" s="11">
        <v>0.50519999999999998</v>
      </c>
      <c r="AJ226" s="11">
        <v>13.503</v>
      </c>
      <c r="AK226" s="88">
        <v>9.7999999999999997E-3</v>
      </c>
      <c r="AL226" s="10">
        <f t="shared" si="174"/>
        <v>0.50519999999999998</v>
      </c>
      <c r="AM226" s="11">
        <f t="shared" si="175"/>
        <v>13.503</v>
      </c>
      <c r="AN226" s="88">
        <f t="shared" si="176"/>
        <v>9.7999999999999997E-3</v>
      </c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</row>
    <row r="227" spans="1:72" s="61" customFormat="1" ht="15" thickBot="1" x14ac:dyDescent="0.4">
      <c r="A227" s="68"/>
      <c r="B227" s="61">
        <v>239</v>
      </c>
      <c r="C227" s="62" t="s">
        <v>161</v>
      </c>
      <c r="D227" s="61" t="s">
        <v>43</v>
      </c>
      <c r="E227" s="61">
        <v>1</v>
      </c>
      <c r="F227" s="61">
        <v>984</v>
      </c>
      <c r="G227" s="61">
        <v>7</v>
      </c>
      <c r="H227" s="61">
        <f>135-21</f>
        <v>114</v>
      </c>
      <c r="I227" s="61">
        <v>2</v>
      </c>
      <c r="J227" s="61">
        <v>5000</v>
      </c>
      <c r="K227" s="67">
        <v>85</v>
      </c>
      <c r="L227" s="61">
        <v>1</v>
      </c>
      <c r="M227" s="61">
        <f>(133.5+157.5+0+163+167.5+179+125.5)-(128+152+0+163+167.5+171+95)</f>
        <v>49.5</v>
      </c>
      <c r="Q227" s="61" t="s">
        <v>160</v>
      </c>
      <c r="R227" s="61">
        <f t="shared" si="164"/>
        <v>5.8287327557824566</v>
      </c>
      <c r="S227" s="61">
        <f t="shared" si="165"/>
        <v>0.21807567120057</v>
      </c>
      <c r="T227" s="61">
        <f t="shared" si="166"/>
        <v>300.47712124707112</v>
      </c>
      <c r="U227" s="84">
        <f t="shared" si="168"/>
        <v>0.91013460015835312</v>
      </c>
      <c r="V227" s="84">
        <f t="shared" si="169"/>
        <v>0.95980893134858924</v>
      </c>
      <c r="W227" s="84">
        <f t="shared" si="170"/>
        <v>1</v>
      </c>
      <c r="X227" s="61">
        <v>1681</v>
      </c>
      <c r="Y227" s="61">
        <v>1351</v>
      </c>
      <c r="Z227" s="89">
        <f t="shared" si="163"/>
        <v>0.1963117192147531</v>
      </c>
      <c r="AA227" s="68"/>
      <c r="AB227" s="61">
        <v>4.5400000000000003E-2</v>
      </c>
      <c r="AC227" s="61">
        <v>0.54269999999999996</v>
      </c>
      <c r="AD227" s="90">
        <v>0</v>
      </c>
      <c r="AE227" s="68">
        <f t="shared" si="171"/>
        <v>4.5400000000000003E-2</v>
      </c>
      <c r="AF227" s="61">
        <f t="shared" si="172"/>
        <v>0.54269999999999996</v>
      </c>
      <c r="AG227" s="90" t="str">
        <f t="shared" si="173"/>
        <v>-</v>
      </c>
      <c r="AH227" s="68"/>
      <c r="AI227" s="61">
        <v>0.50519999999999998</v>
      </c>
      <c r="AJ227" s="61">
        <v>13.503</v>
      </c>
      <c r="AK227" s="90">
        <v>9.7999999999999997E-3</v>
      </c>
      <c r="AL227" s="68">
        <f t="shared" si="174"/>
        <v>0.50519999999999998</v>
      </c>
      <c r="AM227" s="61">
        <f t="shared" si="175"/>
        <v>13.503</v>
      </c>
      <c r="AN227" s="90">
        <f t="shared" si="176"/>
        <v>9.7999999999999997E-3</v>
      </c>
      <c r="AO227" s="106"/>
      <c r="AP227" s="106"/>
      <c r="AQ227" s="106"/>
      <c r="AR227" s="106"/>
      <c r="AS227" s="106"/>
      <c r="AT227" s="106"/>
      <c r="AU227" s="106"/>
      <c r="AV227" s="106"/>
      <c r="AW227" s="106"/>
      <c r="AX227" s="106"/>
      <c r="AY227" s="106"/>
      <c r="AZ227" s="106"/>
      <c r="BA227" s="106"/>
      <c r="BB227" s="106"/>
      <c r="BC227" s="106"/>
      <c r="BD227" s="106"/>
      <c r="BE227" s="106"/>
      <c r="BF227" s="106"/>
      <c r="BG227" s="106"/>
      <c r="BH227" s="106"/>
      <c r="BI227" s="106"/>
      <c r="BJ227" s="106"/>
      <c r="BK227" s="106"/>
      <c r="BL227" s="106"/>
      <c r="BM227" s="106"/>
      <c r="BN227" s="106"/>
      <c r="BO227" s="106"/>
      <c r="BP227" s="106"/>
      <c r="BQ227" s="106"/>
      <c r="BR227" s="106"/>
      <c r="BS227" s="106"/>
      <c r="BT227" s="106"/>
    </row>
    <row r="228" spans="1:72" s="56" customFormat="1" ht="15" thickTop="1" x14ac:dyDescent="0.35">
      <c r="A228" s="66"/>
      <c r="B228" s="56">
        <v>240</v>
      </c>
      <c r="C228" s="57" t="s">
        <v>162</v>
      </c>
      <c r="D228" s="56" t="s">
        <v>43</v>
      </c>
      <c r="E228" s="56">
        <v>1</v>
      </c>
      <c r="F228" s="56">
        <v>994</v>
      </c>
      <c r="G228" s="56">
        <v>1</v>
      </c>
      <c r="H228" s="56">
        <v>100</v>
      </c>
      <c r="I228" s="56">
        <v>1</v>
      </c>
      <c r="J228" s="56">
        <v>5000</v>
      </c>
      <c r="K228" s="56">
        <v>65</v>
      </c>
      <c r="L228" s="56">
        <v>1</v>
      </c>
      <c r="M228" s="56">
        <f>(161.5+164+167+187.5)-(139.5+138.5+163.5+183.5)</f>
        <v>55</v>
      </c>
      <c r="R228" s="56">
        <f t="shared" si="164"/>
        <v>7.1533214302064732</v>
      </c>
      <c r="S228" s="56">
        <f t="shared" si="165"/>
        <v>0.27466978648928686</v>
      </c>
      <c r="T228" s="56">
        <f t="shared" si="166"/>
        <v>300.81932244549699</v>
      </c>
      <c r="U228" s="83">
        <f t="shared" si="168"/>
        <v>0.97811447811447805</v>
      </c>
      <c r="V228" s="83">
        <f t="shared" si="169"/>
        <v>0.98664328770665333</v>
      </c>
      <c r="W228" s="83">
        <f t="shared" si="170"/>
        <v>1</v>
      </c>
      <c r="X228" s="56">
        <v>1618</v>
      </c>
      <c r="Y228" s="56">
        <v>1309</v>
      </c>
      <c r="Z228" s="85">
        <f t="shared" si="163"/>
        <v>0.19097651421508033</v>
      </c>
      <c r="AA228" s="66"/>
      <c r="AB228" s="56">
        <v>1.04E-2</v>
      </c>
      <c r="AC228" s="56">
        <v>0.1653</v>
      </c>
      <c r="AD228" s="86">
        <v>0</v>
      </c>
      <c r="AE228" s="66">
        <f t="shared" si="171"/>
        <v>1.04E-2</v>
      </c>
      <c r="AF228" s="56">
        <f t="shared" si="172"/>
        <v>0.1653</v>
      </c>
      <c r="AG228" s="86" t="str">
        <f t="shared" si="173"/>
        <v>-</v>
      </c>
      <c r="AH228" s="66">
        <v>7.59</v>
      </c>
      <c r="AI228" s="56">
        <v>0.47520000000000001</v>
      </c>
      <c r="AJ228" s="56">
        <v>12.3758</v>
      </c>
      <c r="AK228" s="86">
        <v>1.1299999999999999E-2</v>
      </c>
      <c r="AL228" s="66">
        <f t="shared" si="174"/>
        <v>-7.210925644916541E-2</v>
      </c>
      <c r="AM228" s="56">
        <f t="shared" si="175"/>
        <v>-1.8779666160849773</v>
      </c>
      <c r="AN228" s="86">
        <f t="shared" si="176"/>
        <v>-1.7147192716236721E-3</v>
      </c>
      <c r="AO228" s="107"/>
      <c r="AP228" s="107"/>
      <c r="AQ228" s="107"/>
      <c r="AR228" s="107"/>
      <c r="AS228" s="107"/>
      <c r="AT228" s="107"/>
      <c r="AU228" s="107"/>
      <c r="AV228" s="107"/>
      <c r="AW228" s="107"/>
      <c r="AX228" s="107"/>
      <c r="AY228" s="107"/>
      <c r="AZ228" s="107"/>
      <c r="BA228" s="107"/>
      <c r="BB228" s="107"/>
      <c r="BC228" s="107"/>
      <c r="BD228" s="107"/>
      <c r="BE228" s="107"/>
      <c r="BF228" s="107"/>
      <c r="BG228" s="107"/>
      <c r="BH228" s="107"/>
      <c r="BI228" s="107"/>
      <c r="BJ228" s="107"/>
      <c r="BK228" s="107"/>
      <c r="BL228" s="107"/>
      <c r="BM228" s="107"/>
      <c r="BN228" s="107"/>
      <c r="BO228" s="107"/>
      <c r="BP228" s="107"/>
      <c r="BQ228" s="107"/>
      <c r="BR228" s="107"/>
      <c r="BS228" s="107"/>
      <c r="BT228" s="107"/>
    </row>
    <row r="229" spans="1:72" s="11" customFormat="1" x14ac:dyDescent="0.35">
      <c r="A229" s="10"/>
      <c r="B229" s="11">
        <v>241</v>
      </c>
      <c r="C229" s="41" t="s">
        <v>162</v>
      </c>
      <c r="D229" s="11" t="s">
        <v>43</v>
      </c>
      <c r="E229" s="11">
        <v>1</v>
      </c>
      <c r="F229" s="11">
        <v>994</v>
      </c>
      <c r="G229" s="11">
        <v>2</v>
      </c>
      <c r="H229" s="11">
        <v>120</v>
      </c>
      <c r="I229" s="11">
        <v>2</v>
      </c>
      <c r="J229" s="11">
        <v>5000</v>
      </c>
      <c r="K229" s="11">
        <v>65</v>
      </c>
      <c r="L229" s="11">
        <v>1</v>
      </c>
      <c r="M229" s="11">
        <f>(119.5+163.5+163.5+183.5)-(119.5+135+142+163)</f>
        <v>70.5</v>
      </c>
      <c r="R229" s="11">
        <f t="shared" si="164"/>
        <v>9.2435255986657854</v>
      </c>
      <c r="S229" s="11">
        <f t="shared" si="165"/>
        <v>0.35492843812003921</v>
      </c>
      <c r="T229" s="11">
        <f t="shared" si="166"/>
        <v>388.71888181291871</v>
      </c>
      <c r="U229" s="55">
        <f t="shared" si="168"/>
        <v>0.97095959595959602</v>
      </c>
      <c r="V229" s="55">
        <f t="shared" si="169"/>
        <v>0.97740752112994711</v>
      </c>
      <c r="W229" s="55">
        <f t="shared" si="170"/>
        <v>1</v>
      </c>
      <c r="X229" s="11">
        <v>1605</v>
      </c>
      <c r="Y229" s="11">
        <v>1293</v>
      </c>
      <c r="Z229" s="87">
        <f t="shared" si="163"/>
        <v>0.19439252336448598</v>
      </c>
      <c r="AA229" s="10"/>
      <c r="AB229" s="11">
        <v>1.38E-2</v>
      </c>
      <c r="AC229" s="11">
        <v>0.27960000000000002</v>
      </c>
      <c r="AD229" s="88">
        <v>0</v>
      </c>
      <c r="AE229" s="10">
        <f t="shared" si="171"/>
        <v>1.38E-2</v>
      </c>
      <c r="AF229" s="11">
        <f t="shared" si="172"/>
        <v>0.27960000000000002</v>
      </c>
      <c r="AG229" s="88" t="str">
        <f t="shared" si="173"/>
        <v>-</v>
      </c>
      <c r="AH229" s="10">
        <v>7.59</v>
      </c>
      <c r="AI229" s="11">
        <v>0.47520000000000001</v>
      </c>
      <c r="AJ229" s="11">
        <v>12.3758</v>
      </c>
      <c r="AK229" s="88">
        <v>1.1299999999999999E-2</v>
      </c>
      <c r="AL229" s="10">
        <f t="shared" si="174"/>
        <v>-7.210925644916541E-2</v>
      </c>
      <c r="AM229" s="11">
        <f t="shared" si="175"/>
        <v>-1.8779666160849773</v>
      </c>
      <c r="AN229" s="88">
        <f t="shared" si="176"/>
        <v>-1.7147192716236721E-3</v>
      </c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</row>
    <row r="230" spans="1:72" s="11" customFormat="1" x14ac:dyDescent="0.35">
      <c r="A230" s="10"/>
      <c r="B230" s="11">
        <v>242</v>
      </c>
      <c r="C230" s="41" t="s">
        <v>163</v>
      </c>
      <c r="D230" s="11" t="s">
        <v>43</v>
      </c>
      <c r="E230" s="11">
        <v>1</v>
      </c>
      <c r="F230" s="11">
        <v>994</v>
      </c>
      <c r="G230" s="11">
        <v>3</v>
      </c>
      <c r="H230" s="11">
        <v>110</v>
      </c>
      <c r="I230" s="11">
        <v>1</v>
      </c>
      <c r="J230" s="11">
        <v>5000</v>
      </c>
      <c r="K230" s="11">
        <v>65</v>
      </c>
      <c r="L230" s="11">
        <v>1</v>
      </c>
      <c r="M230" s="11">
        <v>55</v>
      </c>
      <c r="R230" s="11">
        <f t="shared" si="164"/>
        <v>6.7076639084752667</v>
      </c>
      <c r="S230" s="11">
        <f t="shared" si="165"/>
        <v>0.25755764389432984</v>
      </c>
      <c r="T230" s="11">
        <f t="shared" si="166"/>
        <v>282.07804330154397</v>
      </c>
      <c r="U230" s="55">
        <f>IF(AB230&lt;&gt;"",(AI230-AB230)/AI230,"-")</f>
        <v>0.98884680134680125</v>
      </c>
      <c r="V230" s="55">
        <f>IF(AC230&lt;&gt;"",(AJ230-AC230)/AJ230,"-")</f>
        <v>0.98976227799414995</v>
      </c>
      <c r="W230" s="55">
        <f>IF(AD230&lt;&gt;"",(AK230-AD230)/AK230,"-")</f>
        <v>1</v>
      </c>
      <c r="X230" s="11">
        <v>1725.5</v>
      </c>
      <c r="Y230" s="11">
        <v>1382</v>
      </c>
      <c r="Z230" s="87">
        <f t="shared" si="163"/>
        <v>0.19907273254129243</v>
      </c>
      <c r="AA230" s="10"/>
      <c r="AB230" s="11">
        <v>5.3E-3</v>
      </c>
      <c r="AC230" s="11">
        <v>0.12670000000000001</v>
      </c>
      <c r="AD230" s="88">
        <v>0</v>
      </c>
      <c r="AE230" s="10">
        <f t="shared" si="171"/>
        <v>5.3E-3</v>
      </c>
      <c r="AF230" s="11">
        <f t="shared" si="172"/>
        <v>0.12670000000000001</v>
      </c>
      <c r="AG230" s="88" t="str">
        <f t="shared" si="173"/>
        <v>-</v>
      </c>
      <c r="AH230" s="10">
        <v>7.59</v>
      </c>
      <c r="AI230" s="11">
        <v>0.47520000000000001</v>
      </c>
      <c r="AJ230" s="11">
        <v>12.3758</v>
      </c>
      <c r="AK230" s="88">
        <v>1.1299999999999999E-2</v>
      </c>
      <c r="AL230" s="10">
        <f t="shared" si="174"/>
        <v>-7.210925644916541E-2</v>
      </c>
      <c r="AM230" s="11">
        <f t="shared" si="175"/>
        <v>-1.8779666160849773</v>
      </c>
      <c r="AN230" s="88">
        <f t="shared" si="176"/>
        <v>-1.7147192716236721E-3</v>
      </c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</row>
    <row r="231" spans="1:72" s="11" customFormat="1" x14ac:dyDescent="0.35">
      <c r="A231" s="10"/>
      <c r="B231" s="11">
        <v>243</v>
      </c>
      <c r="C231" s="41" t="s">
        <v>163</v>
      </c>
      <c r="D231" s="11" t="s">
        <v>43</v>
      </c>
      <c r="E231" s="11">
        <v>1</v>
      </c>
      <c r="F231" s="11">
        <v>994</v>
      </c>
      <c r="G231" s="11">
        <v>4</v>
      </c>
      <c r="H231" s="11">
        <v>125</v>
      </c>
      <c r="I231" s="11">
        <v>2</v>
      </c>
      <c r="J231" s="11">
        <v>5000</v>
      </c>
      <c r="K231" s="11">
        <v>65</v>
      </c>
      <c r="L231" s="11">
        <v>1</v>
      </c>
      <c r="M231" s="11">
        <f>(159+166+160+169)-(153+160+137+145.5)</f>
        <v>58.5</v>
      </c>
      <c r="R231" s="11">
        <f t="shared" si="164"/>
        <v>7.6439652658218318</v>
      </c>
      <c r="S231" s="11">
        <f t="shared" si="165"/>
        <v>0.29350929186949815</v>
      </c>
      <c r="T231" s="11">
        <f t="shared" si="166"/>
        <v>321.45241542641901</v>
      </c>
      <c r="U231" s="55">
        <f t="shared" ref="U231:U283" si="177">IF(AB231&lt;&gt;"",(AI231-AB231)/AI231,"-")</f>
        <v>0.96380471380471378</v>
      </c>
      <c r="V231" s="55">
        <f t="shared" ref="V231:V283" si="178">IF(AC231&lt;&gt;"",(AJ231-AC231)/AJ231,"-")</f>
        <v>0.98180319656103043</v>
      </c>
      <c r="W231" s="55">
        <f t="shared" ref="W231:W283" si="179">IF(AD231&lt;&gt;"",(AK231-AD231)/AK231,"-")</f>
        <v>1</v>
      </c>
      <c r="X231" s="11">
        <v>1610.5</v>
      </c>
      <c r="Y231" s="11">
        <v>1301</v>
      </c>
      <c r="Z231" s="87">
        <f t="shared" si="163"/>
        <v>0.1921763427506985</v>
      </c>
      <c r="AA231" s="10"/>
      <c r="AB231" s="11">
        <v>1.72E-2</v>
      </c>
      <c r="AC231" s="11">
        <v>0.22520000000000001</v>
      </c>
      <c r="AD231" s="88">
        <v>0</v>
      </c>
      <c r="AE231" s="10">
        <f t="shared" si="171"/>
        <v>1.72E-2</v>
      </c>
      <c r="AF231" s="11">
        <f t="shared" si="172"/>
        <v>0.22520000000000001</v>
      </c>
      <c r="AG231" s="88" t="str">
        <f t="shared" si="173"/>
        <v>-</v>
      </c>
      <c r="AH231" s="10">
        <v>7.59</v>
      </c>
      <c r="AI231" s="11">
        <v>0.47520000000000001</v>
      </c>
      <c r="AJ231" s="11">
        <v>12.3758</v>
      </c>
      <c r="AK231" s="88">
        <v>1.1299999999999999E-2</v>
      </c>
      <c r="AL231" s="10">
        <f t="shared" si="174"/>
        <v>-7.210925644916541E-2</v>
      </c>
      <c r="AM231" s="11">
        <f t="shared" si="175"/>
        <v>-1.8779666160849773</v>
      </c>
      <c r="AN231" s="88">
        <f t="shared" si="176"/>
        <v>-1.7147192716236721E-3</v>
      </c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</row>
    <row r="232" spans="1:72" s="11" customFormat="1" x14ac:dyDescent="0.35">
      <c r="A232" s="10"/>
      <c r="B232" s="11">
        <v>244</v>
      </c>
      <c r="C232" s="41" t="s">
        <v>163</v>
      </c>
      <c r="D232" s="11" t="s">
        <v>43</v>
      </c>
      <c r="E232" s="11">
        <v>1</v>
      </c>
      <c r="F232" s="11">
        <v>994</v>
      </c>
      <c r="G232" s="11">
        <v>5</v>
      </c>
      <c r="H232" s="11">
        <v>110</v>
      </c>
      <c r="I232" s="11">
        <v>1</v>
      </c>
      <c r="J232" s="11">
        <v>5000</v>
      </c>
      <c r="K232" s="11">
        <v>65</v>
      </c>
      <c r="L232" s="11">
        <v>1</v>
      </c>
      <c r="M232" s="11">
        <f>(153+160+160+171)-(130.5+137.5+157.5+168.5)</f>
        <v>50</v>
      </c>
      <c r="R232" s="11">
        <f t="shared" si="164"/>
        <v>6.6258724948901273</v>
      </c>
      <c r="S232" s="11">
        <f t="shared" si="165"/>
        <v>0.25441705664052333</v>
      </c>
      <c r="T232" s="11">
        <f t="shared" si="166"/>
        <v>278.63846102405211</v>
      </c>
      <c r="U232" s="55">
        <f t="shared" si="177"/>
        <v>0.88867845117845112</v>
      </c>
      <c r="V232" s="55">
        <f t="shared" si="178"/>
        <v>0.96537597569450062</v>
      </c>
      <c r="W232" s="55">
        <f t="shared" si="179"/>
        <v>1</v>
      </c>
      <c r="X232" s="11">
        <v>1588</v>
      </c>
      <c r="Y232" s="11">
        <v>1277.5</v>
      </c>
      <c r="Z232" s="87">
        <f t="shared" si="163"/>
        <v>0.19552896725440805</v>
      </c>
      <c r="AA232" s="10"/>
      <c r="AB232" s="11">
        <v>5.2900000000000003E-2</v>
      </c>
      <c r="AC232" s="11">
        <v>0.42849999999999999</v>
      </c>
      <c r="AD232" s="88">
        <v>0</v>
      </c>
      <c r="AE232" s="10">
        <f t="shared" si="171"/>
        <v>5.2900000000000003E-2</v>
      </c>
      <c r="AF232" s="11">
        <f t="shared" si="172"/>
        <v>0.42849999999999999</v>
      </c>
      <c r="AG232" s="88" t="str">
        <f t="shared" si="173"/>
        <v>-</v>
      </c>
      <c r="AH232" s="10">
        <v>7.59</v>
      </c>
      <c r="AI232" s="11">
        <v>0.47520000000000001</v>
      </c>
      <c r="AJ232" s="11">
        <v>12.3758</v>
      </c>
      <c r="AK232" s="88">
        <v>1.1299999999999999E-2</v>
      </c>
      <c r="AL232" s="10">
        <f t="shared" si="174"/>
        <v>-7.210925644916541E-2</v>
      </c>
      <c r="AM232" s="11">
        <f t="shared" si="175"/>
        <v>-1.8779666160849773</v>
      </c>
      <c r="AN232" s="88">
        <f t="shared" si="176"/>
        <v>-1.7147192716236721E-3</v>
      </c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</row>
    <row r="233" spans="1:72" s="11" customFormat="1" x14ac:dyDescent="0.35">
      <c r="A233" s="10"/>
      <c r="B233" s="11">
        <v>245</v>
      </c>
      <c r="C233" s="41" t="s">
        <v>163</v>
      </c>
      <c r="D233" s="11" t="s">
        <v>43</v>
      </c>
      <c r="E233" s="11">
        <v>1</v>
      </c>
      <c r="F233" s="11">
        <v>994</v>
      </c>
      <c r="G233" s="11">
        <v>7</v>
      </c>
      <c r="H233" s="11">
        <v>120</v>
      </c>
      <c r="I233" s="11">
        <v>1</v>
      </c>
      <c r="J233" s="11">
        <v>5000</v>
      </c>
      <c r="K233" s="11">
        <v>65</v>
      </c>
      <c r="L233" s="11">
        <v>1</v>
      </c>
      <c r="M233" s="11">
        <f>(158+166)-(130.5+138.5)</f>
        <v>55</v>
      </c>
      <c r="R233" s="11">
        <f t="shared" si="164"/>
        <v>7.2247653396217695</v>
      </c>
      <c r="S233" s="11">
        <f t="shared" si="165"/>
        <v>0.27741305526820609</v>
      </c>
      <c r="T233" s="11">
        <f t="shared" si="166"/>
        <v>303.82376012285528</v>
      </c>
      <c r="U233" s="55">
        <f t="shared" si="177"/>
        <v>0.92655723905723908</v>
      </c>
      <c r="V233" s="55">
        <f t="shared" si="178"/>
        <v>0.9610449425491685</v>
      </c>
      <c r="W233" s="55">
        <f t="shared" si="179"/>
        <v>1</v>
      </c>
      <c r="X233" s="11">
        <v>1602</v>
      </c>
      <c r="Y233" s="11">
        <v>1267</v>
      </c>
      <c r="Z233" s="87">
        <f t="shared" si="163"/>
        <v>0.20911360799001244</v>
      </c>
      <c r="AA233" s="10"/>
      <c r="AB233" s="11">
        <v>3.49E-2</v>
      </c>
      <c r="AC233" s="11">
        <v>0.48209999999999997</v>
      </c>
      <c r="AD233" s="88">
        <v>0</v>
      </c>
      <c r="AE233" s="10">
        <f t="shared" si="171"/>
        <v>3.49E-2</v>
      </c>
      <c r="AF233" s="11">
        <f t="shared" si="172"/>
        <v>0.48209999999999997</v>
      </c>
      <c r="AG233" s="88" t="str">
        <f t="shared" si="173"/>
        <v>-</v>
      </c>
      <c r="AH233" s="10">
        <v>7.59</v>
      </c>
      <c r="AI233" s="11">
        <v>0.47520000000000001</v>
      </c>
      <c r="AJ233" s="11">
        <v>12.3758</v>
      </c>
      <c r="AK233" s="88">
        <v>1.1299999999999999E-2</v>
      </c>
      <c r="AL233" s="10">
        <f t="shared" si="174"/>
        <v>-7.210925644916541E-2</v>
      </c>
      <c r="AM233" s="11">
        <f t="shared" si="175"/>
        <v>-1.8779666160849773</v>
      </c>
      <c r="AN233" s="88">
        <f t="shared" si="176"/>
        <v>-1.7147192716236721E-3</v>
      </c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</row>
    <row r="234" spans="1:72" s="61" customFormat="1" ht="15" thickBot="1" x14ac:dyDescent="0.4">
      <c r="A234" s="68"/>
      <c r="B234" s="61">
        <v>246</v>
      </c>
      <c r="C234" s="62" t="s">
        <v>163</v>
      </c>
      <c r="D234" s="61" t="s">
        <v>43</v>
      </c>
      <c r="E234" s="61">
        <v>1</v>
      </c>
      <c r="F234" s="61">
        <v>994</v>
      </c>
      <c r="G234" s="61">
        <v>6</v>
      </c>
      <c r="H234" s="61">
        <v>120</v>
      </c>
      <c r="I234" s="61">
        <v>2</v>
      </c>
      <c r="J234" s="61">
        <v>5000</v>
      </c>
      <c r="K234" s="61">
        <v>65</v>
      </c>
      <c r="L234" s="61">
        <v>1</v>
      </c>
      <c r="M234" s="61">
        <f>(158+168.5)-(126+137)</f>
        <v>63.5</v>
      </c>
      <c r="R234" s="61">
        <f t="shared" si="164"/>
        <v>8.7054036565437212</v>
      </c>
      <c r="S234" s="61">
        <f t="shared" si="165"/>
        <v>0.33426589130315426</v>
      </c>
      <c r="T234" s="61">
        <f t="shared" si="166"/>
        <v>366.08918739730768</v>
      </c>
      <c r="U234" s="84">
        <f t="shared" si="177"/>
        <v>0.79187710437710446</v>
      </c>
      <c r="V234" s="84">
        <f t="shared" si="178"/>
        <v>0.87593529307196294</v>
      </c>
      <c r="W234" s="84">
        <f t="shared" si="179"/>
        <v>1</v>
      </c>
      <c r="X234" s="61">
        <v>1535</v>
      </c>
      <c r="Y234" s="61">
        <v>1264.5</v>
      </c>
      <c r="Z234" s="89">
        <f t="shared" si="163"/>
        <v>0.17622149837133549</v>
      </c>
      <c r="AA234" s="68"/>
      <c r="AB234" s="61">
        <v>9.8900000000000002E-2</v>
      </c>
      <c r="AC234" s="61">
        <v>1.5354000000000001</v>
      </c>
      <c r="AD234" s="90">
        <v>0</v>
      </c>
      <c r="AE234" s="68">
        <f t="shared" si="171"/>
        <v>9.8900000000000002E-2</v>
      </c>
      <c r="AF234" s="61">
        <f t="shared" si="172"/>
        <v>1.5354000000000001</v>
      </c>
      <c r="AG234" s="90" t="str">
        <f t="shared" si="173"/>
        <v>-</v>
      </c>
      <c r="AH234" s="68">
        <v>7.59</v>
      </c>
      <c r="AI234" s="61">
        <v>0.47520000000000001</v>
      </c>
      <c r="AJ234" s="61">
        <v>12.3758</v>
      </c>
      <c r="AK234" s="90">
        <v>1.1299999999999999E-2</v>
      </c>
      <c r="AL234" s="68">
        <f t="shared" si="174"/>
        <v>-7.210925644916541E-2</v>
      </c>
      <c r="AM234" s="61">
        <f t="shared" si="175"/>
        <v>-1.8779666160849773</v>
      </c>
      <c r="AN234" s="90">
        <f t="shared" si="176"/>
        <v>-1.7147192716236721E-3</v>
      </c>
      <c r="AO234" s="106"/>
      <c r="AP234" s="106"/>
      <c r="AQ234" s="106"/>
      <c r="AR234" s="106"/>
      <c r="AS234" s="106"/>
      <c r="AT234" s="106"/>
      <c r="AU234" s="106"/>
      <c r="AV234" s="106"/>
      <c r="AW234" s="106"/>
      <c r="AX234" s="106"/>
      <c r="AY234" s="106"/>
      <c r="AZ234" s="106"/>
      <c r="BA234" s="106"/>
      <c r="BB234" s="106"/>
      <c r="BC234" s="106"/>
      <c r="BD234" s="106"/>
      <c r="BE234" s="106"/>
      <c r="BF234" s="106"/>
      <c r="BG234" s="106"/>
      <c r="BH234" s="106"/>
      <c r="BI234" s="106"/>
      <c r="BJ234" s="106"/>
      <c r="BK234" s="106"/>
      <c r="BL234" s="106"/>
      <c r="BM234" s="106"/>
      <c r="BN234" s="106"/>
      <c r="BO234" s="106"/>
      <c r="BP234" s="106"/>
      <c r="BQ234" s="106"/>
      <c r="BR234" s="106"/>
      <c r="BS234" s="106"/>
      <c r="BT234" s="106"/>
    </row>
    <row r="235" spans="1:72" s="56" customFormat="1" ht="15" thickTop="1" x14ac:dyDescent="0.35">
      <c r="A235" s="66"/>
      <c r="B235" s="56">
        <v>247</v>
      </c>
      <c r="C235" s="79">
        <v>43472</v>
      </c>
      <c r="D235" s="56" t="s">
        <v>148</v>
      </c>
      <c r="E235" s="56">
        <v>1</v>
      </c>
      <c r="F235" s="56">
        <v>983</v>
      </c>
      <c r="G235" s="56">
        <v>1</v>
      </c>
      <c r="H235" s="56">
        <v>125</v>
      </c>
      <c r="I235" s="56">
        <v>1</v>
      </c>
      <c r="J235" s="56">
        <v>5000</v>
      </c>
      <c r="K235" s="56">
        <v>65</v>
      </c>
      <c r="L235" s="56">
        <v>1</v>
      </c>
      <c r="M235" s="56">
        <v>50</v>
      </c>
      <c r="Q235" s="56" t="s">
        <v>165</v>
      </c>
      <c r="R235" s="56">
        <f t="shared" si="164"/>
        <v>10.549190877059729</v>
      </c>
      <c r="S235" s="56">
        <f t="shared" si="165"/>
        <v>0.48412627407511549</v>
      </c>
      <c r="T235" s="56">
        <f t="shared" si="166"/>
        <v>214.50021450021453</v>
      </c>
      <c r="U235" s="83">
        <f t="shared" si="177"/>
        <v>0.9265573770491804</v>
      </c>
      <c r="V235" s="83">
        <f t="shared" si="178"/>
        <v>0.95896780018055972</v>
      </c>
      <c r="W235" s="83">
        <f t="shared" si="179"/>
        <v>0.70666666666666655</v>
      </c>
      <c r="X235" s="56">
        <v>1554</v>
      </c>
      <c r="Y235" s="56">
        <v>1438</v>
      </c>
      <c r="Z235" s="85">
        <f t="shared" si="163"/>
        <v>7.4646074646074645E-2</v>
      </c>
      <c r="AB235" s="56">
        <v>2.24E-2</v>
      </c>
      <c r="AC235" s="56">
        <v>0.2727</v>
      </c>
      <c r="AD235" s="56">
        <v>4.4000000000000003E-3</v>
      </c>
      <c r="AE235" s="56">
        <f t="shared" si="171"/>
        <v>2.24E-2</v>
      </c>
      <c r="AF235" s="56">
        <f t="shared" si="172"/>
        <v>0.2727</v>
      </c>
      <c r="AG235" s="56">
        <f t="shared" si="173"/>
        <v>4.4000000000000003E-3</v>
      </c>
      <c r="AI235" s="66">
        <v>0.30499999999999999</v>
      </c>
      <c r="AJ235" s="56">
        <v>6.6459999999999999</v>
      </c>
      <c r="AK235" s="86">
        <v>1.4999999999999999E-2</v>
      </c>
      <c r="AL235" s="56">
        <f t="shared" si="174"/>
        <v>0.30499999999999999</v>
      </c>
      <c r="AM235" s="56">
        <f t="shared" si="175"/>
        <v>6.6459999999999999</v>
      </c>
      <c r="AN235" s="56">
        <f t="shared" si="176"/>
        <v>1.4999999999999999E-2</v>
      </c>
      <c r="AO235" s="107"/>
      <c r="AP235" s="107"/>
      <c r="AQ235" s="107"/>
      <c r="AR235" s="107"/>
      <c r="AS235" s="107"/>
      <c r="AT235" s="107"/>
      <c r="AU235" s="107"/>
      <c r="AV235" s="107"/>
      <c r="AW235" s="107"/>
      <c r="AX235" s="107"/>
      <c r="AY235" s="107"/>
      <c r="AZ235" s="107"/>
      <c r="BA235" s="107"/>
      <c r="BB235" s="107"/>
      <c r="BC235" s="107"/>
      <c r="BD235" s="107"/>
      <c r="BE235" s="107"/>
      <c r="BF235" s="107"/>
      <c r="BG235" s="107"/>
      <c r="BH235" s="107"/>
      <c r="BI235" s="107"/>
      <c r="BJ235" s="107"/>
      <c r="BK235" s="107"/>
      <c r="BL235" s="107"/>
      <c r="BM235" s="107"/>
      <c r="BN235" s="107"/>
      <c r="BO235" s="107"/>
      <c r="BP235" s="107"/>
      <c r="BQ235" s="107"/>
      <c r="BR235" s="107"/>
      <c r="BS235" s="107"/>
      <c r="BT235" s="107"/>
    </row>
    <row r="236" spans="1:72" s="11" customFormat="1" x14ac:dyDescent="0.35">
      <c r="A236" s="10"/>
      <c r="B236" s="11">
        <v>248</v>
      </c>
      <c r="C236" s="46">
        <v>43472</v>
      </c>
      <c r="D236" s="11" t="s">
        <v>148</v>
      </c>
      <c r="E236" s="11">
        <v>1</v>
      </c>
      <c r="F236" s="11">
        <v>983</v>
      </c>
      <c r="G236" s="11">
        <v>2</v>
      </c>
      <c r="H236" s="11">
        <v>140</v>
      </c>
      <c r="I236" s="11">
        <v>2</v>
      </c>
      <c r="J236" s="11">
        <v>5000</v>
      </c>
      <c r="K236" s="11">
        <v>65</v>
      </c>
      <c r="L236" s="11">
        <v>1</v>
      </c>
      <c r="M236" s="11">
        <f>(173+163.5+160+124.5)-(157+148.5+144.5+113)</f>
        <v>58</v>
      </c>
      <c r="Q236" s="11" t="s">
        <v>165</v>
      </c>
      <c r="R236" s="11">
        <f t="shared" si="164"/>
        <v>12.100791245703437</v>
      </c>
      <c r="S236" s="11">
        <f t="shared" si="165"/>
        <v>0.5553327309568985</v>
      </c>
      <c r="T236" s="11">
        <f t="shared" si="166"/>
        <v>246.04942199596988</v>
      </c>
      <c r="U236" s="55">
        <f t="shared" si="177"/>
        <v>0.92590163934426228</v>
      </c>
      <c r="V236" s="55">
        <f t="shared" si="178"/>
        <v>0.94780318988865486</v>
      </c>
      <c r="W236" s="55">
        <f t="shared" si="179"/>
        <v>1</v>
      </c>
      <c r="X236" s="11">
        <v>1571.5</v>
      </c>
      <c r="Y236" s="11">
        <v>1443</v>
      </c>
      <c r="Z236" s="87">
        <f t="shared" si="163"/>
        <v>8.1769010499522787E-2</v>
      </c>
      <c r="AB236" s="11">
        <v>2.2599999999999999E-2</v>
      </c>
      <c r="AC236" s="11">
        <v>0.34689999999999999</v>
      </c>
      <c r="AD236" s="11">
        <v>0</v>
      </c>
      <c r="AE236" s="11">
        <f t="shared" si="171"/>
        <v>2.2599999999999999E-2</v>
      </c>
      <c r="AF236" s="11">
        <f t="shared" si="172"/>
        <v>0.34689999999999999</v>
      </c>
      <c r="AG236" s="11" t="str">
        <f t="shared" si="173"/>
        <v>-</v>
      </c>
      <c r="AI236" s="10">
        <v>0.30499999999999999</v>
      </c>
      <c r="AJ236" s="11">
        <v>6.6459999999999999</v>
      </c>
      <c r="AK236" s="88">
        <v>1.4999999999999999E-2</v>
      </c>
      <c r="AL236" s="11">
        <f t="shared" si="174"/>
        <v>0.30499999999999999</v>
      </c>
      <c r="AM236" s="11">
        <f t="shared" si="175"/>
        <v>6.6459999999999999</v>
      </c>
      <c r="AN236" s="11">
        <f t="shared" si="176"/>
        <v>1.4999999999999999E-2</v>
      </c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</row>
    <row r="237" spans="1:72" s="11" customFormat="1" x14ac:dyDescent="0.35">
      <c r="A237" s="10"/>
      <c r="B237" s="11">
        <v>249</v>
      </c>
      <c r="C237" s="41" t="s">
        <v>164</v>
      </c>
      <c r="D237" s="11" t="s">
        <v>148</v>
      </c>
      <c r="E237" s="11">
        <v>1</v>
      </c>
      <c r="F237" s="11">
        <v>983</v>
      </c>
      <c r="G237" s="11">
        <v>3</v>
      </c>
      <c r="H237" s="11">
        <v>115</v>
      </c>
      <c r="I237" s="11">
        <v>1</v>
      </c>
      <c r="J237" s="11">
        <v>5000</v>
      </c>
      <c r="K237" s="11">
        <v>65</v>
      </c>
      <c r="L237" s="11">
        <v>1</v>
      </c>
      <c r="M237" s="11">
        <f>(175+160.5+179+169)-(162+147.5+167+157)</f>
        <v>50</v>
      </c>
      <c r="Q237" s="11" t="s">
        <v>165</v>
      </c>
      <c r="R237" s="11">
        <f t="shared" si="164"/>
        <v>10.290924433741884</v>
      </c>
      <c r="S237" s="11">
        <f t="shared" si="165"/>
        <v>0.47227384175312581</v>
      </c>
      <c r="T237" s="11">
        <f t="shared" si="166"/>
        <v>209.24879681941832</v>
      </c>
      <c r="U237" s="55">
        <f t="shared" si="177"/>
        <v>0.98262295081967199</v>
      </c>
      <c r="V237" s="55">
        <f t="shared" si="178"/>
        <v>0.98150767378874515</v>
      </c>
      <c r="W237" s="55">
        <f t="shared" si="179"/>
        <v>1</v>
      </c>
      <c r="X237" s="11">
        <v>1593</v>
      </c>
      <c r="Y237" s="11">
        <v>1449</v>
      </c>
      <c r="Z237" s="87">
        <f t="shared" si="163"/>
        <v>9.0395480225988756E-2</v>
      </c>
      <c r="AB237" s="11">
        <v>5.3E-3</v>
      </c>
      <c r="AC237" s="11">
        <v>0.1229</v>
      </c>
      <c r="AD237" s="11">
        <f>-AD2515</f>
        <v>0</v>
      </c>
      <c r="AE237" s="11">
        <f t="shared" si="171"/>
        <v>5.3E-3</v>
      </c>
      <c r="AF237" s="11">
        <f t="shared" si="172"/>
        <v>0.1229</v>
      </c>
      <c r="AG237" s="11" t="str">
        <f t="shared" si="173"/>
        <v>-</v>
      </c>
      <c r="AI237" s="10">
        <v>0.30499999999999999</v>
      </c>
      <c r="AJ237" s="11">
        <v>6.6459999999999999</v>
      </c>
      <c r="AK237" s="88">
        <v>1.4999999999999999E-2</v>
      </c>
      <c r="AL237" s="11">
        <f t="shared" si="174"/>
        <v>0.30499999999999999</v>
      </c>
      <c r="AM237" s="11">
        <f t="shared" si="175"/>
        <v>6.6459999999999999</v>
      </c>
      <c r="AN237" s="11">
        <f t="shared" si="176"/>
        <v>1.4999999999999999E-2</v>
      </c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</row>
    <row r="238" spans="1:72" s="11" customFormat="1" x14ac:dyDescent="0.35">
      <c r="A238" s="10"/>
      <c r="B238" s="11">
        <v>250</v>
      </c>
      <c r="C238" s="41" t="s">
        <v>164</v>
      </c>
      <c r="D238" s="11" t="s">
        <v>148</v>
      </c>
      <c r="E238" s="11">
        <v>1</v>
      </c>
      <c r="F238" s="11">
        <v>983</v>
      </c>
      <c r="G238" s="11">
        <v>4</v>
      </c>
      <c r="H238" s="11">
        <v>90</v>
      </c>
      <c r="I238" s="11">
        <v>2</v>
      </c>
      <c r="J238" s="11">
        <v>5000</v>
      </c>
      <c r="K238" s="11">
        <v>65</v>
      </c>
      <c r="L238" s="11">
        <v>1</v>
      </c>
      <c r="M238" s="11">
        <f>(162+147+166+156)-(149.5+134+154+143.5)</f>
        <v>50</v>
      </c>
      <c r="Q238" s="11" t="s">
        <v>171</v>
      </c>
      <c r="R238" s="11">
        <f t="shared" si="164"/>
        <v>9.8518284993694838</v>
      </c>
      <c r="S238" s="11">
        <f t="shared" si="165"/>
        <v>0.45212273432255373</v>
      </c>
      <c r="T238" s="11">
        <f t="shared" si="166"/>
        <v>200.32051282051282</v>
      </c>
      <c r="U238" s="55">
        <f t="shared" si="177"/>
        <v>0.89311475409836061</v>
      </c>
      <c r="V238" s="55">
        <f t="shared" si="178"/>
        <v>0.93557026783027375</v>
      </c>
      <c r="W238" s="55">
        <f t="shared" si="179"/>
        <v>0.60666666666666669</v>
      </c>
      <c r="X238" s="11">
        <v>1664</v>
      </c>
      <c r="Y238" s="11">
        <v>1507.5</v>
      </c>
      <c r="Z238" s="87">
        <f t="shared" si="163"/>
        <v>9.4050480769230727E-2</v>
      </c>
      <c r="AB238" s="11">
        <v>3.2599999999999997E-2</v>
      </c>
      <c r="AC238" s="11">
        <v>0.42820000000000003</v>
      </c>
      <c r="AD238" s="11">
        <v>5.8999999999999999E-3</v>
      </c>
      <c r="AE238" s="11">
        <f t="shared" si="171"/>
        <v>3.2599999999999997E-2</v>
      </c>
      <c r="AF238" s="11">
        <f t="shared" si="172"/>
        <v>0.42820000000000003</v>
      </c>
      <c r="AG238" s="11">
        <f t="shared" si="173"/>
        <v>5.8999999999999999E-3</v>
      </c>
      <c r="AI238" s="10">
        <v>0.30499999999999999</v>
      </c>
      <c r="AJ238" s="11">
        <v>6.6459999999999999</v>
      </c>
      <c r="AK238" s="88">
        <v>1.4999999999999999E-2</v>
      </c>
      <c r="AL238" s="11">
        <f t="shared" si="174"/>
        <v>0.30499999999999999</v>
      </c>
      <c r="AM238" s="11">
        <f t="shared" si="175"/>
        <v>6.6459999999999999</v>
      </c>
      <c r="AN238" s="11">
        <f t="shared" si="176"/>
        <v>1.4999999999999999E-2</v>
      </c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</row>
    <row r="239" spans="1:72" s="11" customFormat="1" x14ac:dyDescent="0.35">
      <c r="A239" s="10"/>
      <c r="B239" s="11">
        <v>251</v>
      </c>
      <c r="C239" s="41" t="s">
        <v>164</v>
      </c>
      <c r="D239" s="11" t="s">
        <v>148</v>
      </c>
      <c r="E239" s="11">
        <v>1</v>
      </c>
      <c r="F239" s="11">
        <v>983</v>
      </c>
      <c r="G239" s="11">
        <v>5</v>
      </c>
      <c r="H239" s="11">
        <v>90</v>
      </c>
      <c r="I239" s="11">
        <v>1</v>
      </c>
      <c r="J239" s="11">
        <v>5000</v>
      </c>
      <c r="K239" s="11">
        <v>65</v>
      </c>
      <c r="L239" s="11">
        <v>1</v>
      </c>
      <c r="M239" s="11">
        <f>(163.5+174.5+163+186)-(147+156.5+145+179.5)</f>
        <v>59</v>
      </c>
      <c r="R239" s="11">
        <f t="shared" si="164"/>
        <v>11.504170261719874</v>
      </c>
      <c r="S239" s="11">
        <f t="shared" si="165"/>
        <v>0.52795244204402059</v>
      </c>
      <c r="T239" s="11">
        <f t="shared" si="166"/>
        <v>233.91812865497079</v>
      </c>
      <c r="U239" s="55">
        <f t="shared" si="177"/>
        <v>0.96721311475409832</v>
      </c>
      <c r="V239" s="55">
        <f t="shared" si="178"/>
        <v>0.96763466746915439</v>
      </c>
      <c r="W239" s="55">
        <f t="shared" si="179"/>
        <v>1</v>
      </c>
      <c r="X239" s="11">
        <v>1681.5</v>
      </c>
      <c r="Y239" s="11">
        <f>1587.5-56</f>
        <v>1531.5</v>
      </c>
      <c r="Z239" s="87">
        <f t="shared" si="163"/>
        <v>8.9206066012488816E-2</v>
      </c>
      <c r="AB239" s="108">
        <v>0.01</v>
      </c>
      <c r="AC239" s="11">
        <v>0.21510000000000001</v>
      </c>
      <c r="AD239" s="11">
        <v>0</v>
      </c>
      <c r="AE239" s="11">
        <f t="shared" si="171"/>
        <v>0.01</v>
      </c>
      <c r="AF239" s="11">
        <f t="shared" si="172"/>
        <v>0.21510000000000001</v>
      </c>
      <c r="AG239" s="11" t="str">
        <f t="shared" si="173"/>
        <v>-</v>
      </c>
      <c r="AI239" s="10">
        <v>0.30499999999999999</v>
      </c>
      <c r="AJ239" s="11">
        <v>6.6459999999999999</v>
      </c>
      <c r="AK239" s="88">
        <v>1.4999999999999999E-2</v>
      </c>
      <c r="AL239" s="11">
        <f t="shared" si="174"/>
        <v>0.30499999999999999</v>
      </c>
      <c r="AM239" s="11">
        <f t="shared" si="175"/>
        <v>6.6459999999999999</v>
      </c>
      <c r="AN239" s="11">
        <f t="shared" si="176"/>
        <v>1.4999999999999999E-2</v>
      </c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</row>
    <row r="240" spans="1:72" s="11" customFormat="1" x14ac:dyDescent="0.35">
      <c r="A240" s="10"/>
      <c r="B240" s="11">
        <v>252</v>
      </c>
      <c r="C240" s="41" t="s">
        <v>166</v>
      </c>
      <c r="D240" s="11" t="s">
        <v>148</v>
      </c>
      <c r="E240" s="11">
        <v>1</v>
      </c>
      <c r="F240" s="11">
        <v>983</v>
      </c>
      <c r="G240" s="11">
        <v>6</v>
      </c>
      <c r="H240" s="11">
        <v>110</v>
      </c>
      <c r="I240" s="11">
        <v>2</v>
      </c>
      <c r="J240" s="11">
        <v>5000</v>
      </c>
      <c r="K240" s="11">
        <v>65</v>
      </c>
      <c r="L240" s="11">
        <v>1</v>
      </c>
      <c r="M240" s="11">
        <v>59</v>
      </c>
      <c r="R240" s="11">
        <f t="shared" si="164"/>
        <v>12.266494797135046</v>
      </c>
      <c r="S240" s="11">
        <f t="shared" si="165"/>
        <v>0.56293724242043164</v>
      </c>
      <c r="T240" s="11">
        <f t="shared" si="166"/>
        <v>249.41872754174594</v>
      </c>
      <c r="U240" s="55">
        <f t="shared" si="177"/>
        <v>0.82950819672131149</v>
      </c>
      <c r="V240" s="55">
        <f t="shared" si="178"/>
        <v>0.88308757147156181</v>
      </c>
      <c r="W240" s="55">
        <f t="shared" si="179"/>
        <v>0.11999999999999997</v>
      </c>
      <c r="X240" s="11">
        <v>1577</v>
      </c>
      <c r="Y240" s="11">
        <v>1439</v>
      </c>
      <c r="Z240" s="87">
        <f t="shared" si="163"/>
        <v>8.7507926442612516E-2</v>
      </c>
      <c r="AB240" s="108">
        <v>5.1999999999999998E-2</v>
      </c>
      <c r="AC240" s="11">
        <v>0.77700000000000002</v>
      </c>
      <c r="AD240" s="11">
        <v>1.32E-2</v>
      </c>
      <c r="AE240" s="11">
        <f t="shared" si="171"/>
        <v>5.1999999999999998E-2</v>
      </c>
      <c r="AF240" s="11">
        <f t="shared" si="172"/>
        <v>0.77700000000000002</v>
      </c>
      <c r="AG240" s="11">
        <f t="shared" si="173"/>
        <v>1.32E-2</v>
      </c>
      <c r="AI240" s="10">
        <v>0.30499999999999999</v>
      </c>
      <c r="AJ240" s="11">
        <v>6.6459999999999999</v>
      </c>
      <c r="AK240" s="88">
        <v>1.4999999999999999E-2</v>
      </c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</row>
    <row r="241" spans="1:72" s="11" customFormat="1" x14ac:dyDescent="0.35">
      <c r="A241" s="10"/>
      <c r="B241" s="11">
        <v>253</v>
      </c>
      <c r="C241" s="41" t="s">
        <v>166</v>
      </c>
      <c r="D241" s="11" t="s">
        <v>148</v>
      </c>
      <c r="E241" s="11">
        <v>1</v>
      </c>
      <c r="F241" s="11">
        <v>983</v>
      </c>
      <c r="G241" s="11">
        <v>7</v>
      </c>
      <c r="H241" s="11">
        <v>90</v>
      </c>
      <c r="I241" s="11">
        <v>1</v>
      </c>
      <c r="J241" s="11">
        <v>5000</v>
      </c>
      <c r="K241" s="11">
        <v>65</v>
      </c>
      <c r="L241" s="11">
        <v>1</v>
      </c>
      <c r="M241" s="11">
        <f>(109+185+159.5+186)-(95.5+185+143.5+164)</f>
        <v>51.5</v>
      </c>
      <c r="R241" s="11">
        <f t="shared" si="164"/>
        <v>10.559878612657501</v>
      </c>
      <c r="S241" s="11">
        <f t="shared" si="165"/>
        <v>0.48461675848036978</v>
      </c>
      <c r="T241" s="11">
        <f t="shared" si="166"/>
        <v>214.71753179070254</v>
      </c>
      <c r="U241" s="55">
        <f t="shared" si="177"/>
        <v>1</v>
      </c>
      <c r="V241" s="55">
        <f t="shared" si="178"/>
        <v>0.98934697562443574</v>
      </c>
      <c r="W241" s="55">
        <f t="shared" si="179"/>
        <v>1</v>
      </c>
      <c r="X241" s="11">
        <v>1599</v>
      </c>
      <c r="Y241" s="11">
        <v>1438</v>
      </c>
      <c r="Z241" s="87">
        <f t="shared" si="163"/>
        <v>0.10068792995622267</v>
      </c>
      <c r="AB241" s="11">
        <v>0</v>
      </c>
      <c r="AC241" s="11">
        <v>7.0800000000000002E-2</v>
      </c>
      <c r="AD241" s="11">
        <v>0</v>
      </c>
      <c r="AE241" s="11" t="str">
        <f t="shared" ref="AE241:AE252" si="180">IF(AB241,AB241/(1-$AA241),"-")</f>
        <v>-</v>
      </c>
      <c r="AF241" s="11">
        <f t="shared" ref="AF241:AF252" si="181">IF(AC241,AC241/(1-$AA241),"-")</f>
        <v>7.0800000000000002E-2</v>
      </c>
      <c r="AG241" s="11" t="str">
        <f t="shared" ref="AG241:AG252" si="182">IF(AD241,AD241/(1-$AA241),"-")</f>
        <v>-</v>
      </c>
      <c r="AI241" s="10">
        <v>0.30499999999999999</v>
      </c>
      <c r="AJ241" s="11">
        <v>6.6459999999999999</v>
      </c>
      <c r="AK241" s="88">
        <v>1.4999999999999999E-2</v>
      </c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</row>
    <row r="242" spans="1:72" s="11" customFormat="1" x14ac:dyDescent="0.35">
      <c r="A242" s="10"/>
      <c r="B242" s="11">
        <v>254</v>
      </c>
      <c r="C242" s="41" t="s">
        <v>166</v>
      </c>
      <c r="D242" s="11" t="s">
        <v>148</v>
      </c>
      <c r="E242" s="11">
        <v>1</v>
      </c>
      <c r="F242" s="11">
        <v>983</v>
      </c>
      <c r="G242" s="11">
        <v>8</v>
      </c>
      <c r="H242" s="11">
        <v>115</v>
      </c>
      <c r="I242" s="11">
        <v>2</v>
      </c>
      <c r="J242" s="11">
        <v>5000</v>
      </c>
      <c r="K242" s="11">
        <v>65</v>
      </c>
      <c r="L242" s="11">
        <v>1</v>
      </c>
      <c r="M242" s="11">
        <f>(162+175+143.5+164)-(148+154+136+156)</f>
        <v>50.5</v>
      </c>
      <c r="R242" s="11">
        <f t="shared" si="164"/>
        <v>10.825352761804728</v>
      </c>
      <c r="S242" s="11">
        <f t="shared" si="165"/>
        <v>0.49679996875570887</v>
      </c>
      <c r="T242" s="11">
        <f t="shared" si="166"/>
        <v>220.11550615669609</v>
      </c>
      <c r="U242" s="55">
        <f t="shared" si="177"/>
        <v>0.9888524590163934</v>
      </c>
      <c r="V242" s="55">
        <f t="shared" si="178"/>
        <v>0.9848329822449593</v>
      </c>
      <c r="W242" s="55">
        <f t="shared" si="179"/>
        <v>1</v>
      </c>
      <c r="X242" s="11">
        <v>1529.5</v>
      </c>
      <c r="Y242" s="11">
        <v>1399</v>
      </c>
      <c r="Z242" s="87">
        <f t="shared" si="163"/>
        <v>8.5322000653808461E-2</v>
      </c>
      <c r="AB242" s="11">
        <v>3.3999999999999998E-3</v>
      </c>
      <c r="AC242" s="11">
        <v>0.1008</v>
      </c>
      <c r="AD242" s="11">
        <v>0</v>
      </c>
      <c r="AE242" s="11">
        <f t="shared" si="180"/>
        <v>3.3999999999999998E-3</v>
      </c>
      <c r="AF242" s="11">
        <f t="shared" si="181"/>
        <v>0.1008</v>
      </c>
      <c r="AG242" s="11" t="str">
        <f t="shared" si="182"/>
        <v>-</v>
      </c>
      <c r="AI242" s="10">
        <v>0.30499999999999999</v>
      </c>
      <c r="AJ242" s="11">
        <v>6.6459999999999999</v>
      </c>
      <c r="AK242" s="88">
        <v>1.4999999999999999E-2</v>
      </c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</row>
    <row r="243" spans="1:72" s="11" customFormat="1" x14ac:dyDescent="0.35">
      <c r="A243" s="10"/>
      <c r="B243" s="11">
        <v>255</v>
      </c>
      <c r="C243" s="41" t="s">
        <v>166</v>
      </c>
      <c r="D243" s="11" t="s">
        <v>148</v>
      </c>
      <c r="E243" s="11">
        <v>1</v>
      </c>
      <c r="F243" s="11">
        <v>983</v>
      </c>
      <c r="G243" s="11">
        <v>9</v>
      </c>
      <c r="H243" s="11">
        <v>100</v>
      </c>
      <c r="I243" s="11">
        <v>1</v>
      </c>
      <c r="J243" s="11">
        <v>5000</v>
      </c>
      <c r="K243" s="11">
        <v>65</v>
      </c>
      <c r="L243" s="11">
        <v>1</v>
      </c>
      <c r="M243" s="11">
        <f>(168.5+182)-(143.5+157)</f>
        <v>50</v>
      </c>
      <c r="R243" s="11">
        <f t="shared" si="164"/>
        <v>11.017098536929316</v>
      </c>
      <c r="S243" s="11">
        <f t="shared" si="165"/>
        <v>0.5055996168768343</v>
      </c>
      <c r="T243" s="11">
        <f t="shared" si="166"/>
        <v>224.01433691756273</v>
      </c>
      <c r="U243" s="55">
        <f t="shared" si="177"/>
        <v>0.96295081967213125</v>
      </c>
      <c r="V243" s="55">
        <f t="shared" si="178"/>
        <v>0.97255492025278356</v>
      </c>
      <c r="W243" s="55">
        <f t="shared" si="179"/>
        <v>1</v>
      </c>
      <c r="X243" s="11">
        <v>1488</v>
      </c>
      <c r="Y243" s="11">
        <v>1366</v>
      </c>
      <c r="Z243" s="87">
        <f t="shared" ref="Z243:Z348" si="183">IF(Y243,1-Y243/X243,"-")</f>
        <v>8.1989247311827995E-2</v>
      </c>
      <c r="AB243" s="11">
        <v>1.1299999999999999E-2</v>
      </c>
      <c r="AC243" s="11">
        <v>0.18240000000000001</v>
      </c>
      <c r="AD243" s="11">
        <v>0</v>
      </c>
      <c r="AE243" s="11">
        <f t="shared" si="180"/>
        <v>1.1299999999999999E-2</v>
      </c>
      <c r="AF243" s="11">
        <f t="shared" si="181"/>
        <v>0.18240000000000001</v>
      </c>
      <c r="AG243" s="11" t="str">
        <f t="shared" si="182"/>
        <v>-</v>
      </c>
      <c r="AI243" s="10">
        <v>0.30499999999999999</v>
      </c>
      <c r="AJ243" s="11">
        <v>6.6459999999999999</v>
      </c>
      <c r="AK243" s="88">
        <v>1.4999999999999999E-2</v>
      </c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</row>
    <row r="244" spans="1:72" s="61" customFormat="1" ht="15" thickBot="1" x14ac:dyDescent="0.4">
      <c r="A244" s="68"/>
      <c r="B244" s="61">
        <v>256</v>
      </c>
      <c r="C244" s="62" t="s">
        <v>166</v>
      </c>
      <c r="D244" s="61" t="s">
        <v>148</v>
      </c>
      <c r="E244" s="61">
        <v>1</v>
      </c>
      <c r="F244" s="61">
        <v>983</v>
      </c>
      <c r="G244" s="61">
        <v>10</v>
      </c>
      <c r="H244" s="61">
        <v>110</v>
      </c>
      <c r="I244" s="61">
        <v>2</v>
      </c>
      <c r="J244" s="61">
        <v>5000</v>
      </c>
      <c r="K244" s="61">
        <v>65</v>
      </c>
      <c r="L244" s="61">
        <v>1</v>
      </c>
      <c r="M244" s="61">
        <f>(156.5+164)-(129.5+137.5)</f>
        <v>53.5</v>
      </c>
      <c r="R244" s="61">
        <f>IF(AND(X244&lt;&gt;0,AI244&lt;&gt;0,$M244&lt;&gt;0),$M244/($X244*(AI244/100)),"")</f>
        <v>12.983703631796727</v>
      </c>
      <c r="S244" s="61">
        <f>IF(AND(Y244&lt;&gt;0,AJ244&lt;&gt;0,$M244&lt;&gt;0),$M244/($X244*(AJ244/100)),"")</f>
        <v>0.59585158105597369</v>
      </c>
      <c r="T244" s="61">
        <f>IF(AND(Z244&lt;&gt;0,AK244&lt;&gt;0,$M244&lt;&gt;0),$M244/($X244*(AK244/100)),"")</f>
        <v>264.00197384653347</v>
      </c>
      <c r="U244" s="84">
        <f t="shared" si="177"/>
        <v>0.98491803278688528</v>
      </c>
      <c r="V244" s="84">
        <f t="shared" si="178"/>
        <v>0.98289196509178456</v>
      </c>
      <c r="W244" s="84">
        <f t="shared" si="179"/>
        <v>1</v>
      </c>
      <c r="X244" s="61">
        <v>1351</v>
      </c>
      <c r="Y244" s="61">
        <v>1265</v>
      </c>
      <c r="Z244" s="89">
        <f t="shared" si="183"/>
        <v>6.3656550703182879E-2</v>
      </c>
      <c r="AB244" s="61">
        <v>4.5999999999999999E-3</v>
      </c>
      <c r="AC244" s="61">
        <v>0.1137</v>
      </c>
      <c r="AD244" s="61">
        <v>0</v>
      </c>
      <c r="AE244" s="61">
        <f t="shared" si="180"/>
        <v>4.5999999999999999E-3</v>
      </c>
      <c r="AF244" s="61">
        <f t="shared" si="181"/>
        <v>0.1137</v>
      </c>
      <c r="AG244" s="61" t="str">
        <f t="shared" si="182"/>
        <v>-</v>
      </c>
      <c r="AI244" s="68">
        <v>0.30499999999999999</v>
      </c>
      <c r="AJ244" s="61">
        <v>6.6459999999999999</v>
      </c>
      <c r="AK244" s="90">
        <v>1.4999999999999999E-2</v>
      </c>
      <c r="AO244" s="106"/>
      <c r="AP244" s="106"/>
      <c r="AQ244" s="106"/>
      <c r="AR244" s="106"/>
      <c r="AS244" s="106"/>
      <c r="AT244" s="106"/>
      <c r="AU244" s="106"/>
      <c r="AV244" s="106"/>
      <c r="AW244" s="106"/>
      <c r="AX244" s="106"/>
      <c r="AY244" s="106"/>
      <c r="AZ244" s="106"/>
      <c r="BA244" s="106"/>
      <c r="BB244" s="106"/>
      <c r="BC244" s="106"/>
      <c r="BD244" s="106"/>
      <c r="BE244" s="106"/>
      <c r="BF244" s="106"/>
      <c r="BG244" s="106"/>
      <c r="BH244" s="106"/>
      <c r="BI244" s="106"/>
      <c r="BJ244" s="106"/>
      <c r="BK244" s="106"/>
      <c r="BL244" s="106"/>
      <c r="BM244" s="106"/>
      <c r="BN244" s="106"/>
      <c r="BO244" s="106"/>
      <c r="BP244" s="106"/>
      <c r="BQ244" s="106"/>
      <c r="BR244" s="106"/>
      <c r="BS244" s="106"/>
      <c r="BT244" s="106"/>
    </row>
    <row r="245" spans="1:72" ht="15" thickTop="1" x14ac:dyDescent="0.35">
      <c r="A245" s="18"/>
      <c r="B245" s="11">
        <v>257</v>
      </c>
      <c r="C245" s="11" t="s">
        <v>172</v>
      </c>
      <c r="D245" s="11" t="s">
        <v>56</v>
      </c>
      <c r="E245" s="11">
        <v>1</v>
      </c>
      <c r="F245" s="11">
        <v>1007</v>
      </c>
      <c r="G245" s="11">
        <v>1</v>
      </c>
      <c r="H245" s="11">
        <v>110</v>
      </c>
      <c r="I245" s="11">
        <v>1</v>
      </c>
      <c r="J245" s="11">
        <v>5000</v>
      </c>
      <c r="K245" s="11">
        <v>65</v>
      </c>
      <c r="L245" s="11">
        <v>1</v>
      </c>
      <c r="M245" s="11">
        <f>(160+175+161.5+181.5+158.5+161)-(160+170+158+180.5+138+141)</f>
        <v>50</v>
      </c>
      <c r="N245" s="11"/>
      <c r="O245" s="11"/>
      <c r="P245" s="11"/>
      <c r="Q245" s="11"/>
      <c r="R245" s="11">
        <f t="shared" ref="R245:R294" si="184">IF(AND(X245&lt;&gt;0,AI245&lt;&gt;0,$M245&lt;&gt;0),$M245/($X245*(AI245/100)),"")</f>
        <v>5.139571488227169</v>
      </c>
      <c r="S245" s="11">
        <f t="shared" ref="S245:S294" si="185">IF(AND(Y245&lt;&gt;0,AJ245&lt;&gt;0,$M245&lt;&gt;0),$M245/($X245*(AJ245/100)),"")</f>
        <v>0.24721229510349696</v>
      </c>
      <c r="T245" s="11">
        <f t="shared" ref="T245:T294" si="186">IF(AND(Z245&lt;&gt;0,AK245&lt;&gt;0,$M245&lt;&gt;0),$M245/($X245*(AK245/100)),"")</f>
        <v>384.80038480038479</v>
      </c>
      <c r="U245" s="55">
        <f t="shared" si="177"/>
        <v>1</v>
      </c>
      <c r="V245" s="55">
        <f t="shared" si="178"/>
        <v>0.97912477577072299</v>
      </c>
      <c r="W245" s="55">
        <f t="shared" si="179"/>
        <v>1</v>
      </c>
      <c r="X245" s="11">
        <v>1687.5</v>
      </c>
      <c r="Y245" s="11">
        <v>1391</v>
      </c>
      <c r="Z245" s="87">
        <f t="shared" si="183"/>
        <v>0.1757037037037037</v>
      </c>
      <c r="AA245" s="10"/>
      <c r="AB245" s="11">
        <v>0</v>
      </c>
      <c r="AC245" s="11">
        <v>0.25019999999999998</v>
      </c>
      <c r="AD245" s="88">
        <v>0</v>
      </c>
      <c r="AE245" s="10" t="str">
        <f t="shared" si="180"/>
        <v>-</v>
      </c>
      <c r="AF245" s="11">
        <f t="shared" si="181"/>
        <v>0.25019999999999998</v>
      </c>
      <c r="AG245" s="88" t="str">
        <f t="shared" si="182"/>
        <v>-</v>
      </c>
      <c r="AH245" s="10"/>
      <c r="AI245" s="11">
        <v>0.57650000000000001</v>
      </c>
      <c r="AJ245" s="11">
        <v>11.9855</v>
      </c>
      <c r="AK245" s="88">
        <v>7.7000000000000002E-3</v>
      </c>
    </row>
    <row r="246" spans="1:72" x14ac:dyDescent="0.35">
      <c r="A246" s="18"/>
      <c r="B246" s="11">
        <v>258</v>
      </c>
      <c r="C246" s="11" t="s">
        <v>172</v>
      </c>
      <c r="D246" s="11" t="s">
        <v>56</v>
      </c>
      <c r="E246" s="11">
        <v>1</v>
      </c>
      <c r="F246" s="11">
        <v>1007</v>
      </c>
      <c r="G246" s="11">
        <v>2</v>
      </c>
      <c r="H246" s="11">
        <v>100</v>
      </c>
      <c r="I246" s="11">
        <v>2</v>
      </c>
      <c r="J246" s="11">
        <v>5000</v>
      </c>
      <c r="K246" s="11">
        <v>65</v>
      </c>
      <c r="L246" s="11">
        <v>1</v>
      </c>
      <c r="M246" s="11">
        <f>(160.5+172)-(136+146)</f>
        <v>50.5</v>
      </c>
      <c r="N246" s="11"/>
      <c r="O246" s="11"/>
      <c r="P246" s="11"/>
      <c r="Q246" s="11"/>
      <c r="R246" s="11">
        <f t="shared" si="184"/>
        <v>5.464602093104916</v>
      </c>
      <c r="S246" s="11">
        <f t="shared" si="185"/>
        <v>0.26284619804555376</v>
      </c>
      <c r="T246" s="11">
        <f t="shared" si="186"/>
        <v>409.13546839934861</v>
      </c>
      <c r="U246" s="55">
        <f t="shared" si="177"/>
        <v>1</v>
      </c>
      <c r="V246" s="55">
        <f t="shared" si="178"/>
        <v>0.86361853906804054</v>
      </c>
      <c r="W246" s="55">
        <f t="shared" si="179"/>
        <v>1</v>
      </c>
      <c r="X246" s="11">
        <v>1603</v>
      </c>
      <c r="Y246" s="11">
        <v>1345.5</v>
      </c>
      <c r="Z246" s="87">
        <f t="shared" si="183"/>
        <v>0.16063630692451658</v>
      </c>
      <c r="AA246" s="10"/>
      <c r="AB246" s="11">
        <v>0</v>
      </c>
      <c r="AC246" s="11">
        <v>1.6346000000000001</v>
      </c>
      <c r="AD246" s="88">
        <v>0</v>
      </c>
      <c r="AE246" s="10" t="str">
        <f t="shared" si="180"/>
        <v>-</v>
      </c>
      <c r="AF246" s="11">
        <f t="shared" si="181"/>
        <v>1.6346000000000001</v>
      </c>
      <c r="AG246" s="88" t="str">
        <f t="shared" si="182"/>
        <v>-</v>
      </c>
      <c r="AH246" s="10"/>
      <c r="AI246" s="11">
        <v>0.57650000000000001</v>
      </c>
      <c r="AJ246" s="11">
        <v>11.9855</v>
      </c>
      <c r="AK246" s="88">
        <v>7.7000000000000002E-3</v>
      </c>
    </row>
    <row r="247" spans="1:72" x14ac:dyDescent="0.35">
      <c r="A247" s="18"/>
      <c r="B247" s="11">
        <v>259</v>
      </c>
      <c r="C247" s="41" t="s">
        <v>173</v>
      </c>
      <c r="D247" s="11" t="s">
        <v>56</v>
      </c>
      <c r="E247" s="11">
        <v>1</v>
      </c>
      <c r="F247" s="11">
        <v>1007</v>
      </c>
      <c r="G247" s="11">
        <v>3</v>
      </c>
      <c r="H247" s="11">
        <v>130</v>
      </c>
      <c r="I247" s="11">
        <v>1</v>
      </c>
      <c r="J247" s="11">
        <v>5000</v>
      </c>
      <c r="K247" s="11">
        <v>65</v>
      </c>
      <c r="L247" s="11">
        <v>1</v>
      </c>
      <c r="M247" s="11">
        <v>50</v>
      </c>
      <c r="N247" s="11"/>
      <c r="O247" s="11"/>
      <c r="P247" s="11"/>
      <c r="Q247" s="11"/>
      <c r="R247" s="11">
        <f t="shared" si="184"/>
        <v>5.1965409744657558</v>
      </c>
      <c r="S247" s="11">
        <f t="shared" si="185"/>
        <v>0.24995251527091142</v>
      </c>
      <c r="T247" s="11">
        <f t="shared" si="186"/>
        <v>389.06569763370237</v>
      </c>
      <c r="U247" s="55">
        <f t="shared" si="177"/>
        <v>0.99601040763226367</v>
      </c>
      <c r="V247" s="55">
        <f t="shared" si="178"/>
        <v>0.98965416544991858</v>
      </c>
      <c r="W247" s="55">
        <f t="shared" si="179"/>
        <v>1</v>
      </c>
      <c r="X247" s="11">
        <v>1669</v>
      </c>
      <c r="Y247" s="11">
        <v>1366.5</v>
      </c>
      <c r="Z247" s="87">
        <f t="shared" si="183"/>
        <v>0.18124625524266025</v>
      </c>
      <c r="AA247" s="10"/>
      <c r="AB247" s="11">
        <v>2.3E-3</v>
      </c>
      <c r="AC247" s="108">
        <v>0.124</v>
      </c>
      <c r="AD247" s="88">
        <v>0</v>
      </c>
      <c r="AE247" s="10">
        <f t="shared" si="180"/>
        <v>2.3E-3</v>
      </c>
      <c r="AF247" s="11">
        <f t="shared" si="181"/>
        <v>0.124</v>
      </c>
      <c r="AG247" s="88" t="str">
        <f t="shared" si="182"/>
        <v>-</v>
      </c>
      <c r="AH247" s="10"/>
      <c r="AI247" s="11">
        <v>0.57650000000000001</v>
      </c>
      <c r="AJ247" s="11">
        <v>11.9855</v>
      </c>
      <c r="AK247" s="88">
        <v>7.7000000000000002E-3</v>
      </c>
    </row>
    <row r="248" spans="1:72" x14ac:dyDescent="0.35">
      <c r="A248" s="18"/>
      <c r="B248" s="11">
        <v>260</v>
      </c>
      <c r="C248" s="41" t="s">
        <v>173</v>
      </c>
      <c r="D248" s="11" t="s">
        <v>56</v>
      </c>
      <c r="E248" s="11">
        <v>1</v>
      </c>
      <c r="F248" s="11">
        <v>1007</v>
      </c>
      <c r="G248" s="11">
        <v>4</v>
      </c>
      <c r="H248" s="11">
        <v>130</v>
      </c>
      <c r="I248" s="11">
        <v>2</v>
      </c>
      <c r="J248" s="11">
        <v>5000</v>
      </c>
      <c r="K248" s="11">
        <v>65</v>
      </c>
      <c r="L248" s="11">
        <v>1</v>
      </c>
      <c r="M248" s="11">
        <f>(147.5+162.5+183+172)-(133+145.5+177+147.5)</f>
        <v>62</v>
      </c>
      <c r="N248" s="11"/>
      <c r="O248" s="11"/>
      <c r="P248" s="11"/>
      <c r="Q248" s="11"/>
      <c r="R248" s="11">
        <f t="shared" si="184"/>
        <v>6.4591911946638749</v>
      </c>
      <c r="S248" s="11">
        <f t="shared" si="185"/>
        <v>0.31068572222466506</v>
      </c>
      <c r="T248" s="11">
        <f t="shared" si="186"/>
        <v>483.60048360048353</v>
      </c>
      <c r="U248" s="55">
        <f t="shared" si="177"/>
        <v>0.98178664353859502</v>
      </c>
      <c r="V248" s="55">
        <f t="shared" si="178"/>
        <v>0.98828584539652087</v>
      </c>
      <c r="W248" s="55">
        <f t="shared" si="179"/>
        <v>1</v>
      </c>
      <c r="X248" s="11">
        <v>1665</v>
      </c>
      <c r="Y248" s="11">
        <v>1344.5</v>
      </c>
      <c r="Z248" s="87">
        <f t="shared" si="183"/>
        <v>0.19249249249249245</v>
      </c>
      <c r="AA248" s="10"/>
      <c r="AB248" s="11">
        <v>1.0500000000000001E-2</v>
      </c>
      <c r="AC248" s="11">
        <v>0.1404</v>
      </c>
      <c r="AD248" s="88">
        <v>0</v>
      </c>
      <c r="AE248" s="10">
        <f t="shared" si="180"/>
        <v>1.0500000000000001E-2</v>
      </c>
      <c r="AF248" s="11">
        <f t="shared" si="181"/>
        <v>0.1404</v>
      </c>
      <c r="AG248" s="88" t="str">
        <f t="shared" si="182"/>
        <v>-</v>
      </c>
      <c r="AH248" s="10"/>
      <c r="AI248" s="11">
        <v>0.57650000000000001</v>
      </c>
      <c r="AJ248" s="11">
        <v>11.9855</v>
      </c>
      <c r="AK248" s="88">
        <v>7.7000000000000002E-3</v>
      </c>
    </row>
    <row r="249" spans="1:72" x14ac:dyDescent="0.35">
      <c r="A249" s="18"/>
      <c r="B249" s="11">
        <v>261</v>
      </c>
      <c r="C249" s="41" t="s">
        <v>175</v>
      </c>
      <c r="D249" s="11" t="s">
        <v>56</v>
      </c>
      <c r="E249" s="11">
        <v>1</v>
      </c>
      <c r="F249" s="11">
        <v>1007</v>
      </c>
      <c r="G249" s="11">
        <v>5</v>
      </c>
      <c r="H249" s="11">
        <v>120</v>
      </c>
      <c r="I249" s="11">
        <v>1</v>
      </c>
      <c r="J249" s="11">
        <v>5000</v>
      </c>
      <c r="K249" s="11">
        <v>65</v>
      </c>
      <c r="L249" s="11">
        <v>1</v>
      </c>
      <c r="M249" s="11">
        <f>(165+170+151+177+170.5+170.5)-(143.5+155+150.5+169.5+163+172.5)</f>
        <v>50</v>
      </c>
      <c r="N249" s="11"/>
      <c r="O249" s="11"/>
      <c r="P249" s="11"/>
      <c r="Q249" s="11"/>
      <c r="R249" s="11">
        <f t="shared" si="184"/>
        <v>5.1563774592053191</v>
      </c>
      <c r="S249" s="11">
        <f t="shared" si="185"/>
        <v>0.24802065873195667</v>
      </c>
      <c r="T249" s="11">
        <f t="shared" si="186"/>
        <v>386.05865003011263</v>
      </c>
      <c r="U249" s="55">
        <f t="shared" si="177"/>
        <v>0.99549002601908054</v>
      </c>
      <c r="V249" s="55">
        <f t="shared" si="178"/>
        <v>0.99082224354428272</v>
      </c>
      <c r="W249" s="55">
        <f t="shared" si="179"/>
        <v>-0.24675324675324661</v>
      </c>
      <c r="X249" s="11">
        <v>1682</v>
      </c>
      <c r="Y249" s="11">
        <v>1411</v>
      </c>
      <c r="Z249" s="87">
        <f t="shared" si="183"/>
        <v>0.16111771700356714</v>
      </c>
      <c r="AA249" s="10"/>
      <c r="AB249" s="11">
        <v>2.5999999999999999E-3</v>
      </c>
      <c r="AC249" s="108">
        <v>0.11</v>
      </c>
      <c r="AD249" s="88">
        <v>9.5999999999999992E-3</v>
      </c>
      <c r="AE249" s="10">
        <f t="shared" si="180"/>
        <v>2.5999999999999999E-3</v>
      </c>
      <c r="AF249" s="11">
        <f t="shared" si="181"/>
        <v>0.11</v>
      </c>
      <c r="AG249" s="88">
        <f t="shared" si="182"/>
        <v>9.5999999999999992E-3</v>
      </c>
      <c r="AH249" s="10"/>
      <c r="AI249" s="11">
        <v>0.57650000000000001</v>
      </c>
      <c r="AJ249" s="11">
        <v>11.9855</v>
      </c>
      <c r="AK249" s="88">
        <v>7.7000000000000002E-3</v>
      </c>
    </row>
    <row r="250" spans="1:72" s="106" customFormat="1" ht="15" thickBot="1" x14ac:dyDescent="0.4">
      <c r="A250" s="123"/>
      <c r="B250" s="61">
        <v>262</v>
      </c>
      <c r="C250" s="62" t="s">
        <v>175</v>
      </c>
      <c r="D250" s="61" t="s">
        <v>56</v>
      </c>
      <c r="E250" s="61">
        <v>1</v>
      </c>
      <c r="F250" s="61">
        <v>1007</v>
      </c>
      <c r="G250" s="61">
        <v>6</v>
      </c>
      <c r="H250" s="61">
        <v>120</v>
      </c>
      <c r="I250" s="61">
        <v>2</v>
      </c>
      <c r="J250" s="61">
        <v>5000</v>
      </c>
      <c r="K250" s="61">
        <v>65</v>
      </c>
      <c r="L250" s="61">
        <v>1</v>
      </c>
      <c r="M250" s="61">
        <f>(151+169+163+172.5)-(140+152+147+166.5)</f>
        <v>50</v>
      </c>
      <c r="N250" s="61"/>
      <c r="O250" s="61"/>
      <c r="P250" s="61"/>
      <c r="Q250" s="61"/>
      <c r="R250" s="61">
        <f t="shared" si="184"/>
        <v>5.5066837373862532</v>
      </c>
      <c r="S250" s="61">
        <f t="shared" si="185"/>
        <v>0.26487031618231821</v>
      </c>
      <c r="T250" s="61">
        <f t="shared" si="186"/>
        <v>412.28612657184084</v>
      </c>
      <c r="U250" s="84">
        <f t="shared" si="177"/>
        <v>0.96045099739809181</v>
      </c>
      <c r="V250" s="84">
        <f t="shared" si="178"/>
        <v>0.97130699595344372</v>
      </c>
      <c r="W250" s="84">
        <f t="shared" si="179"/>
        <v>1</v>
      </c>
      <c r="X250" s="61">
        <v>1575</v>
      </c>
      <c r="Y250" s="61">
        <v>1327</v>
      </c>
      <c r="Z250" s="89">
        <f t="shared" si="183"/>
        <v>0.15746031746031741</v>
      </c>
      <c r="AA250" s="68"/>
      <c r="AB250" s="61">
        <v>2.2800000000000001E-2</v>
      </c>
      <c r="AC250" s="61">
        <v>0.34389999999999998</v>
      </c>
      <c r="AD250" s="90">
        <v>0</v>
      </c>
      <c r="AE250" s="68">
        <f t="shared" si="180"/>
        <v>2.2800000000000001E-2</v>
      </c>
      <c r="AF250" s="61">
        <f t="shared" si="181"/>
        <v>0.34389999999999998</v>
      </c>
      <c r="AG250" s="90" t="str">
        <f t="shared" si="182"/>
        <v>-</v>
      </c>
      <c r="AH250" s="68"/>
      <c r="AI250" s="61">
        <v>0.57650000000000001</v>
      </c>
      <c r="AJ250" s="61">
        <v>11.9855</v>
      </c>
      <c r="AK250" s="90">
        <v>7.7000000000000002E-3</v>
      </c>
      <c r="AL250" s="123"/>
      <c r="AN250" s="124"/>
    </row>
    <row r="251" spans="1:72" s="107" customFormat="1" ht="15.5" thickTop="1" thickBot="1" x14ac:dyDescent="0.4">
      <c r="B251" s="56">
        <v>263</v>
      </c>
      <c r="C251" s="57" t="s">
        <v>176</v>
      </c>
      <c r="D251" s="56" t="s">
        <v>56</v>
      </c>
      <c r="E251" s="56">
        <v>1</v>
      </c>
      <c r="F251" s="56">
        <v>1008</v>
      </c>
      <c r="G251" s="56">
        <v>1</v>
      </c>
      <c r="H251" s="56">
        <v>120</v>
      </c>
      <c r="I251" s="56">
        <v>1</v>
      </c>
      <c r="J251" s="56">
        <v>5000</v>
      </c>
      <c r="K251" s="56">
        <v>65</v>
      </c>
      <c r="L251" s="56">
        <v>1</v>
      </c>
      <c r="M251" s="56">
        <f>(157.5+171.5+169+176.5)-(143.5+150+157+170)</f>
        <v>54</v>
      </c>
      <c r="N251" s="56"/>
      <c r="O251" s="56"/>
      <c r="P251" s="56"/>
      <c r="Q251" s="56"/>
      <c r="R251" s="56">
        <f t="shared" si="184"/>
        <v>5.4349795282437769</v>
      </c>
      <c r="S251" s="56">
        <f t="shared" si="185"/>
        <v>0.20556822655263113</v>
      </c>
      <c r="T251" s="61" t="str">
        <f t="shared" si="186"/>
        <v/>
      </c>
      <c r="U251" s="83">
        <f t="shared" si="177"/>
        <v>0.82342657342657344</v>
      </c>
      <c r="V251" s="83">
        <f t="shared" si="178"/>
        <v>0.91513588573695692</v>
      </c>
      <c r="W251" s="83" t="e">
        <f t="shared" si="179"/>
        <v>#DIV/0!</v>
      </c>
      <c r="X251" s="56">
        <v>1737</v>
      </c>
      <c r="Y251" s="56">
        <v>1405</v>
      </c>
      <c r="Z251" s="85">
        <f t="shared" si="183"/>
        <v>0.19113413932066781</v>
      </c>
      <c r="AA251" s="66"/>
      <c r="AB251" s="109">
        <v>0.10100000000000001</v>
      </c>
      <c r="AC251" s="56">
        <v>1.2834000000000001</v>
      </c>
      <c r="AD251" s="86">
        <v>3.0999999999999999E-3</v>
      </c>
      <c r="AE251" s="66">
        <f t="shared" si="180"/>
        <v>0.10100000000000001</v>
      </c>
      <c r="AF251" s="56">
        <f t="shared" si="181"/>
        <v>1.2834000000000001</v>
      </c>
      <c r="AG251" s="86">
        <f t="shared" si="182"/>
        <v>3.0999999999999999E-3</v>
      </c>
      <c r="AH251" s="66"/>
      <c r="AI251" s="56">
        <v>0.57199999999999995</v>
      </c>
      <c r="AJ251" s="56">
        <v>15.122999999999999</v>
      </c>
      <c r="AK251" s="86">
        <v>0</v>
      </c>
      <c r="AL251" s="132"/>
      <c r="AN251" s="133"/>
    </row>
    <row r="252" spans="1:72" ht="15" thickTop="1" x14ac:dyDescent="0.35">
      <c r="B252" s="11">
        <v>266</v>
      </c>
      <c r="C252" s="41" t="s">
        <v>177</v>
      </c>
      <c r="D252" s="11" t="s">
        <v>56</v>
      </c>
      <c r="E252" s="11">
        <v>1</v>
      </c>
      <c r="F252" s="11">
        <v>1008</v>
      </c>
      <c r="G252" s="11">
        <v>4</v>
      </c>
      <c r="H252" s="11">
        <v>150</v>
      </c>
      <c r="I252" s="11">
        <v>2</v>
      </c>
      <c r="J252" s="11">
        <v>5000</v>
      </c>
      <c r="K252" s="11">
        <v>65</v>
      </c>
      <c r="L252" s="11">
        <v>1</v>
      </c>
      <c r="M252" s="11">
        <f>(176.5+157.5+162+183)-(162+143.5+133.5+181.5)</f>
        <v>58.5</v>
      </c>
      <c r="N252" s="11"/>
      <c r="O252" s="11"/>
      <c r="P252" s="11"/>
      <c r="Q252" s="11"/>
      <c r="R252" s="11">
        <f t="shared" si="184"/>
        <v>5.8592224160829147</v>
      </c>
      <c r="S252" s="11">
        <f t="shared" si="185"/>
        <v>0.22161444303375169</v>
      </c>
      <c r="T252" s="11" t="str">
        <f t="shared" si="186"/>
        <v/>
      </c>
      <c r="U252" s="55">
        <f t="shared" si="177"/>
        <v>0.811013986013986</v>
      </c>
      <c r="V252" s="55">
        <f t="shared" si="178"/>
        <v>0.90413277788798518</v>
      </c>
      <c r="W252" s="55" t="e">
        <f t="shared" si="179"/>
        <v>#DIV/0!</v>
      </c>
      <c r="X252" s="11">
        <v>1745.5</v>
      </c>
      <c r="Y252" s="11">
        <v>1432</v>
      </c>
      <c r="Z252" s="87">
        <f t="shared" si="183"/>
        <v>0.17960469779432831</v>
      </c>
      <c r="AA252" s="10"/>
      <c r="AB252" s="11">
        <v>0.1081</v>
      </c>
      <c r="AC252" s="11">
        <v>1.4498</v>
      </c>
      <c r="AD252" s="88">
        <v>7.4999999999999997E-3</v>
      </c>
      <c r="AE252" s="10">
        <f t="shared" si="180"/>
        <v>0.1081</v>
      </c>
      <c r="AF252" s="11">
        <f t="shared" si="181"/>
        <v>1.4498</v>
      </c>
      <c r="AG252" s="88">
        <f t="shared" si="182"/>
        <v>7.4999999999999997E-3</v>
      </c>
      <c r="AH252" s="10"/>
      <c r="AI252" s="11">
        <v>0.57199999999999995</v>
      </c>
      <c r="AJ252" s="11">
        <v>15.122999999999999</v>
      </c>
      <c r="AK252" s="88">
        <v>0</v>
      </c>
    </row>
    <row r="253" spans="1:72" ht="15" thickBot="1" x14ac:dyDescent="0.4">
      <c r="B253" s="11">
        <v>267</v>
      </c>
      <c r="C253" s="41" t="s">
        <v>177</v>
      </c>
      <c r="D253" s="11" t="s">
        <v>56</v>
      </c>
      <c r="E253" s="11">
        <v>1</v>
      </c>
      <c r="F253" s="11">
        <v>1008</v>
      </c>
      <c r="G253" s="11">
        <v>5</v>
      </c>
      <c r="H253" s="11">
        <v>160</v>
      </c>
      <c r="I253" s="11">
        <v>1</v>
      </c>
      <c r="J253" s="11">
        <v>5000</v>
      </c>
      <c r="K253" s="11">
        <v>65</v>
      </c>
      <c r="L253" s="11">
        <v>1</v>
      </c>
      <c r="M253" s="11">
        <f>(162+143.5+184.5+169)-(151.5+132.5+161.5+146.5)</f>
        <v>67</v>
      </c>
      <c r="N253" s="11"/>
      <c r="O253" s="11"/>
      <c r="P253" s="11"/>
      <c r="Q253" s="11"/>
      <c r="R253" s="11">
        <f t="shared" si="184"/>
        <v>6.6856659322412755</v>
      </c>
      <c r="S253" s="11">
        <f t="shared" si="185"/>
        <v>0.25287316757534939</v>
      </c>
      <c r="T253" s="11" t="str">
        <f t="shared" si="186"/>
        <v/>
      </c>
      <c r="U253" s="55">
        <f t="shared" si="177"/>
        <v>0.79143356643356644</v>
      </c>
      <c r="V253" s="55">
        <f t="shared" si="178"/>
        <v>0.91562520663889446</v>
      </c>
      <c r="W253" s="55" t="e">
        <f t="shared" si="179"/>
        <v>#DIV/0!</v>
      </c>
      <c r="X253" s="11">
        <v>1752</v>
      </c>
      <c r="Y253" s="11">
        <v>1416</v>
      </c>
      <c r="Z253" s="87">
        <f t="shared" si="183"/>
        <v>0.19178082191780821</v>
      </c>
      <c r="AA253" s="10"/>
      <c r="AB253" s="11">
        <v>0.1193</v>
      </c>
      <c r="AC253" s="108">
        <v>1.276</v>
      </c>
      <c r="AD253" s="88">
        <v>0</v>
      </c>
      <c r="AE253" s="10"/>
      <c r="AF253" s="11"/>
      <c r="AG253" s="88"/>
      <c r="AH253" s="10"/>
      <c r="AI253" s="11">
        <v>0.57199999999999995</v>
      </c>
      <c r="AJ253" s="11">
        <v>15.122999999999999</v>
      </c>
      <c r="AK253" s="88">
        <v>0</v>
      </c>
    </row>
    <row r="254" spans="1:72" s="138" customFormat="1" x14ac:dyDescent="0.35">
      <c r="A254" s="135"/>
      <c r="B254" s="138">
        <v>270</v>
      </c>
      <c r="C254" s="177" t="s">
        <v>178</v>
      </c>
      <c r="D254" s="138" t="s">
        <v>14</v>
      </c>
      <c r="E254" s="138">
        <v>1</v>
      </c>
      <c r="F254" s="138">
        <v>1020</v>
      </c>
      <c r="G254" s="138">
        <v>1</v>
      </c>
      <c r="H254" s="138">
        <v>130</v>
      </c>
      <c r="I254" s="138">
        <v>1</v>
      </c>
      <c r="J254" s="138">
        <v>5000</v>
      </c>
      <c r="K254" s="138">
        <v>65</v>
      </c>
      <c r="L254" s="138">
        <v>1</v>
      </c>
      <c r="M254" s="138">
        <v>75</v>
      </c>
      <c r="R254" s="138">
        <f t="shared" si="184"/>
        <v>7.2544829077128208</v>
      </c>
      <c r="S254" s="138">
        <f t="shared" si="185"/>
        <v>0.37286508637494298</v>
      </c>
      <c r="T254" s="138">
        <f t="shared" si="186"/>
        <v>2083.072949214682</v>
      </c>
      <c r="U254" s="139">
        <f t="shared" si="177"/>
        <v>0.90713101160862342</v>
      </c>
      <c r="V254" s="139">
        <f t="shared" si="178"/>
        <v>0.95888169110126154</v>
      </c>
      <c r="W254" s="139">
        <f t="shared" si="179"/>
        <v>1</v>
      </c>
      <c r="X254" s="138">
        <v>1714.5</v>
      </c>
      <c r="Y254" s="138">
        <v>1503</v>
      </c>
      <c r="Z254" s="140">
        <f t="shared" si="183"/>
        <v>0.12335958005249348</v>
      </c>
      <c r="AA254" s="143"/>
      <c r="AB254" s="181">
        <v>5.6000000000000001E-2</v>
      </c>
      <c r="AC254" s="138">
        <v>0.4824</v>
      </c>
      <c r="AD254" s="142">
        <v>0</v>
      </c>
      <c r="AE254" s="143"/>
      <c r="AG254" s="142"/>
      <c r="AH254" s="143"/>
      <c r="AI254" s="138">
        <v>0.60299999999999998</v>
      </c>
      <c r="AJ254" s="138">
        <v>11.731999999999999</v>
      </c>
      <c r="AK254" s="142">
        <v>2.0999999999999999E-3</v>
      </c>
      <c r="AL254" s="143"/>
      <c r="AN254" s="142"/>
    </row>
    <row r="255" spans="1:72" s="11" customFormat="1" x14ac:dyDescent="0.35">
      <c r="A255" s="144"/>
      <c r="B255" s="11">
        <v>271</v>
      </c>
      <c r="C255" s="41" t="s">
        <v>179</v>
      </c>
      <c r="D255" s="11" t="s">
        <v>14</v>
      </c>
      <c r="E255" s="11">
        <v>1</v>
      </c>
      <c r="F255" s="11">
        <v>1020</v>
      </c>
      <c r="G255" s="11">
        <v>3</v>
      </c>
      <c r="H255" s="11">
        <v>140</v>
      </c>
      <c r="I255" s="11">
        <v>1</v>
      </c>
      <c r="J255" s="11">
        <v>5000</v>
      </c>
      <c r="K255" s="11">
        <v>65</v>
      </c>
      <c r="L255" s="11">
        <v>1</v>
      </c>
      <c r="M255" s="11">
        <v>70</v>
      </c>
      <c r="R255" s="11">
        <f t="shared" si="184"/>
        <v>6.7688767049108201</v>
      </c>
      <c r="S255" s="11">
        <f t="shared" si="185"/>
        <v>0.3479059540624978</v>
      </c>
      <c r="T255" s="11">
        <f t="shared" si="186"/>
        <v>1943.6345966958213</v>
      </c>
      <c r="U255" s="55">
        <f t="shared" si="177"/>
        <v>0.91326699834162517</v>
      </c>
      <c r="V255" s="55">
        <f t="shared" si="178"/>
        <v>0.96967269007841794</v>
      </c>
      <c r="W255" s="55">
        <f t="shared" si="179"/>
        <v>-0.52380952380952395</v>
      </c>
      <c r="X255" s="11">
        <v>1715</v>
      </c>
      <c r="Y255" s="11">
        <v>1510.5</v>
      </c>
      <c r="Z255" s="87">
        <f t="shared" si="183"/>
        <v>0.11924198250728868</v>
      </c>
      <c r="AA255" s="10"/>
      <c r="AB255" s="11">
        <v>5.2299999999999999E-2</v>
      </c>
      <c r="AC255" s="11">
        <v>0.35580000000000001</v>
      </c>
      <c r="AD255" s="88">
        <v>3.2000000000000002E-3</v>
      </c>
      <c r="AE255" s="10"/>
      <c r="AG255" s="88"/>
      <c r="AH255" s="10"/>
      <c r="AI255" s="11">
        <v>0.60299999999999998</v>
      </c>
      <c r="AJ255" s="11">
        <v>11.731999999999999</v>
      </c>
      <c r="AK255" s="88">
        <v>2.0999999999999999E-3</v>
      </c>
      <c r="AL255" s="10"/>
      <c r="AN255" s="88"/>
    </row>
    <row r="256" spans="1:72" s="11" customFormat="1" x14ac:dyDescent="0.35">
      <c r="A256" s="144"/>
      <c r="B256" s="11">
        <v>272</v>
      </c>
      <c r="C256" s="41" t="s">
        <v>179</v>
      </c>
      <c r="D256" s="11" t="s">
        <v>14</v>
      </c>
      <c r="E256" s="11">
        <v>1</v>
      </c>
      <c r="F256" s="11">
        <v>1020</v>
      </c>
      <c r="G256" s="11">
        <v>4</v>
      </c>
      <c r="H256" s="11">
        <v>140</v>
      </c>
      <c r="I256" s="11">
        <v>2</v>
      </c>
      <c r="J256" s="11">
        <v>5000</v>
      </c>
      <c r="K256" s="11">
        <v>65</v>
      </c>
      <c r="L256" s="11">
        <v>1</v>
      </c>
      <c r="M256" s="11">
        <f>(163+180.5+167.5+175.5)-(145+164.5+149.5+157.5)</f>
        <v>70</v>
      </c>
      <c r="R256" s="11">
        <f t="shared" si="184"/>
        <v>6.5400696050265115</v>
      </c>
      <c r="S256" s="11">
        <f t="shared" si="185"/>
        <v>0.33614575279841341</v>
      </c>
      <c r="T256" s="11">
        <f t="shared" si="186"/>
        <v>1877.9342723004697</v>
      </c>
      <c r="U256" s="55">
        <f t="shared" si="177"/>
        <v>0.85373134328358202</v>
      </c>
      <c r="V256" s="55">
        <f t="shared" si="178"/>
        <v>0.92394306171155804</v>
      </c>
      <c r="W256" s="55">
        <f t="shared" si="179"/>
        <v>-0.80952380952380965</v>
      </c>
      <c r="X256" s="11">
        <v>1775</v>
      </c>
      <c r="Y256" s="11">
        <v>1462.5</v>
      </c>
      <c r="Z256" s="87">
        <f t="shared" si="183"/>
        <v>0.176056338028169</v>
      </c>
      <c r="AA256" s="10"/>
      <c r="AB256" s="11">
        <v>8.8200000000000001E-2</v>
      </c>
      <c r="AC256" s="11">
        <v>0.89229999999999998</v>
      </c>
      <c r="AD256" s="88">
        <v>3.8E-3</v>
      </c>
      <c r="AE256" s="10"/>
      <c r="AG256" s="88"/>
      <c r="AH256" s="10"/>
      <c r="AI256" s="11">
        <v>0.60299999999999998</v>
      </c>
      <c r="AJ256" s="11">
        <v>11.731999999999999</v>
      </c>
      <c r="AK256" s="88">
        <v>2.0999999999999999E-3</v>
      </c>
      <c r="AL256" s="10"/>
      <c r="AN256" s="88"/>
    </row>
    <row r="257" spans="1:40" s="148" customFormat="1" ht="15" thickBot="1" x14ac:dyDescent="0.4">
      <c r="A257" s="145"/>
      <c r="B257" s="148">
        <v>273</v>
      </c>
      <c r="C257" s="178" t="s">
        <v>180</v>
      </c>
      <c r="D257" s="148" t="s">
        <v>14</v>
      </c>
      <c r="E257" s="148">
        <v>1</v>
      </c>
      <c r="F257" s="148">
        <v>1020</v>
      </c>
      <c r="G257" s="148">
        <v>5</v>
      </c>
      <c r="H257" s="148">
        <v>140</v>
      </c>
      <c r="I257" s="148">
        <v>1</v>
      </c>
      <c r="J257" s="148">
        <v>5000</v>
      </c>
      <c r="K257" s="148">
        <v>65</v>
      </c>
      <c r="L257" s="148">
        <v>1</v>
      </c>
      <c r="M257" s="148">
        <v>70</v>
      </c>
      <c r="R257" s="148">
        <f t="shared" si="184"/>
        <v>6.7669038466464917</v>
      </c>
      <c r="S257" s="148">
        <f t="shared" si="185"/>
        <v>0.34780455331809024</v>
      </c>
      <c r="T257" s="148">
        <f t="shared" si="186"/>
        <v>1943.0681045370643</v>
      </c>
      <c r="U257" s="149">
        <f t="shared" si="177"/>
        <v>0.8827529021558872</v>
      </c>
      <c r="V257" s="149">
        <f t="shared" si="178"/>
        <v>0.95401466075690411</v>
      </c>
      <c r="W257" s="149">
        <f t="shared" si="179"/>
        <v>-1.2857142857142856</v>
      </c>
      <c r="X257" s="148">
        <v>1715.5</v>
      </c>
      <c r="Y257" s="148">
        <v>1441.5</v>
      </c>
      <c r="Z257" s="150">
        <f t="shared" si="183"/>
        <v>0.15972019819294669</v>
      </c>
      <c r="AA257" s="153"/>
      <c r="AB257" s="148">
        <v>7.0699999999999999E-2</v>
      </c>
      <c r="AC257" s="148">
        <v>0.53949999999999998</v>
      </c>
      <c r="AD257" s="152">
        <v>4.7999999999999996E-3</v>
      </c>
      <c r="AE257" s="153"/>
      <c r="AG257" s="152"/>
      <c r="AH257" s="153"/>
      <c r="AI257" s="148">
        <v>0.60299999999999998</v>
      </c>
      <c r="AJ257" s="148">
        <v>11.731999999999999</v>
      </c>
      <c r="AK257" s="152">
        <v>2.0999999999999999E-3</v>
      </c>
      <c r="AL257" s="153"/>
      <c r="AN257" s="152"/>
    </row>
    <row r="258" spans="1:40" s="209" customFormat="1" x14ac:dyDescent="0.35">
      <c r="A258" s="208"/>
      <c r="B258" s="135">
        <v>274</v>
      </c>
      <c r="C258" s="177" t="s">
        <v>181</v>
      </c>
      <c r="D258" s="138" t="s">
        <v>14</v>
      </c>
      <c r="E258" s="138">
        <v>1</v>
      </c>
      <c r="F258" s="138">
        <v>1021</v>
      </c>
      <c r="G258" s="138">
        <v>3</v>
      </c>
      <c r="H258" s="138">
        <v>150</v>
      </c>
      <c r="I258" s="138">
        <v>1</v>
      </c>
      <c r="J258" s="138">
        <v>5000</v>
      </c>
      <c r="K258" s="138">
        <v>65</v>
      </c>
      <c r="L258" s="138">
        <v>1</v>
      </c>
      <c r="M258" s="138">
        <f>(154.5+163.5+181.5+175)-(137+145.5+162+155)</f>
        <v>75</v>
      </c>
      <c r="N258" s="138"/>
      <c r="O258" s="138"/>
      <c r="P258" s="138"/>
      <c r="Q258" s="138"/>
      <c r="R258" s="138">
        <f t="shared" si="184"/>
        <v>4.0488255976471468</v>
      </c>
      <c r="S258" s="138">
        <f t="shared" si="185"/>
        <v>0.38373324093036892</v>
      </c>
      <c r="T258" s="138">
        <f t="shared" si="186"/>
        <v>170.05067510118013</v>
      </c>
      <c r="U258" s="139">
        <f t="shared" si="177"/>
        <v>0.98253968253968249</v>
      </c>
      <c r="V258" s="139">
        <f t="shared" si="178"/>
        <v>0.98736314249895529</v>
      </c>
      <c r="W258" s="139">
        <f t="shared" si="179"/>
        <v>1</v>
      </c>
      <c r="X258" s="138">
        <v>1633.5</v>
      </c>
      <c r="Y258" s="138">
        <v>1369.5</v>
      </c>
      <c r="Z258" s="140">
        <f t="shared" si="183"/>
        <v>0.16161616161616166</v>
      </c>
      <c r="AA258" s="143"/>
      <c r="AB258" s="138">
        <v>1.9800000000000002E-2</v>
      </c>
      <c r="AC258" s="138">
        <v>0.1512</v>
      </c>
      <c r="AD258" s="142">
        <v>0</v>
      </c>
      <c r="AE258" s="143"/>
      <c r="AF258" s="138"/>
      <c r="AG258" s="142"/>
      <c r="AH258" s="143"/>
      <c r="AI258" s="138">
        <v>1.1339999999999999</v>
      </c>
      <c r="AJ258" s="138">
        <v>11.965</v>
      </c>
      <c r="AK258" s="205">
        <v>2.7E-2</v>
      </c>
      <c r="AN258" s="210"/>
    </row>
    <row r="259" spans="1:40" x14ac:dyDescent="0.35">
      <c r="A259" s="211"/>
      <c r="B259" s="144">
        <v>275</v>
      </c>
      <c r="C259" s="41" t="s">
        <v>181</v>
      </c>
      <c r="D259" s="11" t="s">
        <v>14</v>
      </c>
      <c r="E259" s="11">
        <v>1</v>
      </c>
      <c r="F259" s="11">
        <v>1021</v>
      </c>
      <c r="G259" s="11">
        <v>4</v>
      </c>
      <c r="H259" s="11">
        <v>150</v>
      </c>
      <c r="I259" s="11">
        <v>2</v>
      </c>
      <c r="J259" s="11">
        <v>5000</v>
      </c>
      <c r="K259" s="11">
        <v>65</v>
      </c>
      <c r="L259" s="11">
        <v>1</v>
      </c>
      <c r="M259" s="11">
        <f>(137+145.5+175+124)-(129+136.5+146.5+99)</f>
        <v>70.5</v>
      </c>
      <c r="N259" s="11"/>
      <c r="O259" s="11"/>
      <c r="P259" s="11"/>
      <c r="Q259" s="11"/>
      <c r="R259" s="11">
        <f t="shared" si="184"/>
        <v>3.7758464724756862</v>
      </c>
      <c r="S259" s="11">
        <f t="shared" si="185"/>
        <v>0.357861253638732</v>
      </c>
      <c r="T259" s="11">
        <f t="shared" si="186"/>
        <v>158.58555184397881</v>
      </c>
      <c r="U259" s="55">
        <f t="shared" si="177"/>
        <v>0.9790123456790123</v>
      </c>
      <c r="V259" s="55">
        <f t="shared" si="178"/>
        <v>0.98510656080234016</v>
      </c>
      <c r="W259" s="55">
        <f t="shared" si="179"/>
        <v>1</v>
      </c>
      <c r="X259" s="11">
        <v>1646.5</v>
      </c>
      <c r="Y259" s="11">
        <v>1319</v>
      </c>
      <c r="Z259" s="87">
        <f t="shared" si="183"/>
        <v>0.19890677194047979</v>
      </c>
      <c r="AA259" s="10"/>
      <c r="AB259" s="11">
        <v>2.3800000000000002E-2</v>
      </c>
      <c r="AC259" s="11">
        <v>0.1782</v>
      </c>
      <c r="AD259" s="88">
        <v>0</v>
      </c>
      <c r="AE259" s="10"/>
      <c r="AF259" s="11"/>
      <c r="AG259" s="88"/>
      <c r="AH259" s="10"/>
      <c r="AI259" s="11">
        <v>1.1339999999999999</v>
      </c>
      <c r="AJ259" s="11">
        <v>11.965</v>
      </c>
      <c r="AK259" s="206">
        <v>2.7E-2</v>
      </c>
      <c r="AL259" s="19"/>
    </row>
    <row r="260" spans="1:40" x14ac:dyDescent="0.35">
      <c r="A260" s="211"/>
      <c r="B260" s="144">
        <v>276</v>
      </c>
      <c r="C260" s="41" t="s">
        <v>182</v>
      </c>
      <c r="D260" s="11" t="s">
        <v>14</v>
      </c>
      <c r="E260" s="11">
        <v>1</v>
      </c>
      <c r="F260" s="11">
        <v>1021</v>
      </c>
      <c r="G260" s="11">
        <v>7</v>
      </c>
      <c r="H260" s="11">
        <v>150</v>
      </c>
      <c r="I260" s="11">
        <v>1</v>
      </c>
      <c r="J260" s="11">
        <v>5000</v>
      </c>
      <c r="K260" s="11">
        <v>65</v>
      </c>
      <c r="L260" s="11">
        <v>1</v>
      </c>
      <c r="M260" s="11">
        <v>66</v>
      </c>
      <c r="N260" s="11"/>
      <c r="O260" s="11"/>
      <c r="P260" s="11"/>
      <c r="Q260" s="11"/>
      <c r="R260" s="11">
        <f t="shared" si="184"/>
        <v>3.8492763360488231</v>
      </c>
      <c r="S260" s="11">
        <f t="shared" si="185"/>
        <v>0.36482067405594359</v>
      </c>
      <c r="T260" s="11">
        <f t="shared" si="186"/>
        <v>161.66960611405057</v>
      </c>
      <c r="U260" s="55">
        <f t="shared" si="177"/>
        <v>0.94268077601410938</v>
      </c>
      <c r="V260" s="55">
        <f t="shared" si="178"/>
        <v>0.96916005014625994</v>
      </c>
      <c r="W260" s="55">
        <f t="shared" si="179"/>
        <v>1</v>
      </c>
      <c r="X260" s="11">
        <v>1512</v>
      </c>
      <c r="Y260" s="11">
        <v>1189.5</v>
      </c>
      <c r="Z260" s="87">
        <f t="shared" si="183"/>
        <v>0.21329365079365081</v>
      </c>
      <c r="AA260" s="10"/>
      <c r="AB260" s="11">
        <v>6.5000000000000002E-2</v>
      </c>
      <c r="AC260" s="11">
        <v>0.36899999999999999</v>
      </c>
      <c r="AD260" s="88">
        <v>0</v>
      </c>
      <c r="AE260" s="10"/>
      <c r="AF260" s="11"/>
      <c r="AG260" s="88"/>
      <c r="AH260" s="10"/>
      <c r="AI260" s="11">
        <v>1.1339999999999999</v>
      </c>
      <c r="AJ260" s="11">
        <v>11.965</v>
      </c>
      <c r="AK260" s="206">
        <v>2.7E-2</v>
      </c>
      <c r="AL260" s="19"/>
    </row>
    <row r="261" spans="1:40" s="213" customFormat="1" ht="15" thickBot="1" x14ac:dyDescent="0.4">
      <c r="A261" s="212"/>
      <c r="B261" s="145">
        <v>277</v>
      </c>
      <c r="C261" s="178" t="s">
        <v>182</v>
      </c>
      <c r="D261" s="148" t="s">
        <v>14</v>
      </c>
      <c r="E261" s="148">
        <v>1</v>
      </c>
      <c r="F261" s="148">
        <v>1021</v>
      </c>
      <c r="G261" s="148">
        <v>8</v>
      </c>
      <c r="H261" s="148">
        <v>150</v>
      </c>
      <c r="I261" s="148">
        <v>2</v>
      </c>
      <c r="J261" s="148">
        <v>5000</v>
      </c>
      <c r="K261" s="148">
        <v>65</v>
      </c>
      <c r="L261" s="148">
        <v>1</v>
      </c>
      <c r="M261" s="148">
        <f>(163.5+161.5+170.5+173)-(163.5+145+154+154)</f>
        <v>52</v>
      </c>
      <c r="N261" s="148"/>
      <c r="O261" s="148"/>
      <c r="P261" s="148"/>
      <c r="Q261" s="148"/>
      <c r="R261" s="148">
        <f t="shared" si="184"/>
        <v>3.6407605548799147</v>
      </c>
      <c r="S261" s="148">
        <f t="shared" si="185"/>
        <v>0.34505829245581471</v>
      </c>
      <c r="T261" s="148">
        <f t="shared" si="186"/>
        <v>152.9119433049564</v>
      </c>
      <c r="U261" s="149">
        <f t="shared" si="177"/>
        <v>0.97795414462081132</v>
      </c>
      <c r="V261" s="149">
        <f t="shared" si="178"/>
        <v>0.98027580442958628</v>
      </c>
      <c r="W261" s="149">
        <f t="shared" si="179"/>
        <v>1</v>
      </c>
      <c r="X261" s="148">
        <v>1259.5</v>
      </c>
      <c r="Y261" s="148">
        <v>1030</v>
      </c>
      <c r="Z261" s="87">
        <f t="shared" si="183"/>
        <v>0.18221516474791588</v>
      </c>
      <c r="AA261" s="153"/>
      <c r="AB261" s="148">
        <v>2.5000000000000001E-2</v>
      </c>
      <c r="AC261" s="148">
        <v>0.23599999999999999</v>
      </c>
      <c r="AD261" s="152">
        <v>0</v>
      </c>
      <c r="AE261" s="153"/>
      <c r="AF261" s="148"/>
      <c r="AG261" s="152"/>
      <c r="AH261" s="153"/>
      <c r="AI261" s="148">
        <v>1.1339999999999999</v>
      </c>
      <c r="AJ261" s="148">
        <v>11.965</v>
      </c>
      <c r="AK261" s="207">
        <v>2.7E-2</v>
      </c>
      <c r="AN261" s="214"/>
    </row>
    <row r="262" spans="1:40" s="209" customFormat="1" x14ac:dyDescent="0.35">
      <c r="A262" s="208"/>
      <c r="B262" s="138">
        <v>278</v>
      </c>
      <c r="C262" s="177" t="s">
        <v>183</v>
      </c>
      <c r="D262" s="138" t="s">
        <v>14</v>
      </c>
      <c r="E262" s="138">
        <v>1</v>
      </c>
      <c r="F262" s="138">
        <v>1022</v>
      </c>
      <c r="G262" s="138">
        <v>1</v>
      </c>
      <c r="H262" s="138">
        <v>110</v>
      </c>
      <c r="I262" s="138">
        <v>1</v>
      </c>
      <c r="J262" s="138">
        <v>5000</v>
      </c>
      <c r="K262" s="138">
        <v>65</v>
      </c>
      <c r="L262" s="138">
        <v>1</v>
      </c>
      <c r="M262" s="138">
        <f>(156.5+161.5+171.5+163)-(139.5+144.5+145.5+163)</f>
        <v>60</v>
      </c>
      <c r="N262" s="138"/>
      <c r="O262" s="138"/>
      <c r="P262" s="138"/>
      <c r="Q262" s="138"/>
      <c r="R262" s="138">
        <f t="shared" si="184"/>
        <v>7.1146948092372444</v>
      </c>
      <c r="S262" s="138">
        <f t="shared" si="185"/>
        <v>0.32548198457215394</v>
      </c>
      <c r="T262" s="138">
        <f t="shared" si="186"/>
        <v>196.72131147540983</v>
      </c>
      <c r="U262" s="139">
        <f t="shared" si="177"/>
        <v>0.8589511754068716</v>
      </c>
      <c r="V262" s="139">
        <f t="shared" si="178"/>
        <v>0.97203838517538066</v>
      </c>
      <c r="W262" s="139">
        <f t="shared" si="179"/>
        <v>0.7</v>
      </c>
      <c r="X262" s="138">
        <v>1525</v>
      </c>
      <c r="Y262" s="138">
        <v>1267</v>
      </c>
      <c r="Z262" s="140">
        <f t="shared" si="183"/>
        <v>0.16918032786885251</v>
      </c>
      <c r="AA262" s="138"/>
      <c r="AB262" s="138">
        <v>7.8E-2</v>
      </c>
      <c r="AC262" s="138">
        <v>0.33800000000000002</v>
      </c>
      <c r="AD262" s="138">
        <v>6.0000000000000001E-3</v>
      </c>
      <c r="AE262" s="138"/>
      <c r="AF262" s="138"/>
      <c r="AG262" s="138"/>
      <c r="AH262" s="138"/>
      <c r="AI262" s="138">
        <v>0.55300000000000005</v>
      </c>
      <c r="AJ262" s="138">
        <v>12.087999999999999</v>
      </c>
      <c r="AK262" s="184">
        <v>0.02</v>
      </c>
    </row>
    <row r="263" spans="1:40" x14ac:dyDescent="0.35">
      <c r="A263" s="211"/>
      <c r="B263" s="11">
        <v>279</v>
      </c>
      <c r="C263" s="41" t="s">
        <v>183</v>
      </c>
      <c r="D263" s="11" t="s">
        <v>14</v>
      </c>
      <c r="E263" s="11">
        <v>1</v>
      </c>
      <c r="F263" s="11">
        <v>1022</v>
      </c>
      <c r="G263" s="11">
        <v>2</v>
      </c>
      <c r="H263" s="11">
        <v>130</v>
      </c>
      <c r="I263" s="11">
        <v>2</v>
      </c>
      <c r="J263" s="11">
        <v>5000</v>
      </c>
      <c r="K263" s="11">
        <v>65</v>
      </c>
      <c r="L263" s="11">
        <v>1</v>
      </c>
      <c r="M263" s="11">
        <f>(139.5+144.5+171+168)-(131+134.5+161+141.5)</f>
        <v>55</v>
      </c>
      <c r="N263" s="11"/>
      <c r="O263" s="11"/>
      <c r="P263" s="11"/>
      <c r="Q263" s="11"/>
      <c r="R263" s="11">
        <f t="shared" si="184"/>
        <v>6.1336728042427167</v>
      </c>
      <c r="S263" s="11">
        <f t="shared" si="185"/>
        <v>0.28060233791745726</v>
      </c>
      <c r="T263" s="11">
        <f t="shared" si="186"/>
        <v>169.59605303731112</v>
      </c>
      <c r="U263" s="55">
        <f t="shared" si="177"/>
        <v>0.94755877034358038</v>
      </c>
      <c r="V263" s="55">
        <f t="shared" si="178"/>
        <v>0.97294837855724681</v>
      </c>
      <c r="W263" s="55">
        <f t="shared" si="179"/>
        <v>1</v>
      </c>
      <c r="X263" s="11">
        <v>1621.5</v>
      </c>
      <c r="Y263" s="11">
        <v>1337</v>
      </c>
      <c r="Z263" s="11">
        <f t="shared" si="183"/>
        <v>0.17545482577860005</v>
      </c>
      <c r="AA263" s="10"/>
      <c r="AB263" s="11">
        <v>2.9000000000000001E-2</v>
      </c>
      <c r="AC263" s="11">
        <v>0.32700000000000001</v>
      </c>
      <c r="AD263" s="88">
        <v>0</v>
      </c>
      <c r="AE263" s="10"/>
      <c r="AF263" s="11"/>
      <c r="AG263" s="88"/>
      <c r="AH263" s="10"/>
      <c r="AI263" s="11">
        <v>0.55300000000000005</v>
      </c>
      <c r="AJ263" s="11">
        <v>12.087999999999999</v>
      </c>
      <c r="AK263" s="43">
        <v>0.02</v>
      </c>
    </row>
    <row r="264" spans="1:40" x14ac:dyDescent="0.35">
      <c r="A264" s="211"/>
      <c r="B264" s="11">
        <v>278</v>
      </c>
      <c r="C264" s="41" t="s">
        <v>183</v>
      </c>
      <c r="D264" s="11" t="s">
        <v>14</v>
      </c>
      <c r="E264" s="11">
        <v>1</v>
      </c>
      <c r="F264" s="11">
        <v>1022</v>
      </c>
      <c r="G264" s="11">
        <v>3</v>
      </c>
      <c r="H264" s="11">
        <v>130</v>
      </c>
      <c r="I264" s="11">
        <v>1</v>
      </c>
      <c r="J264" s="11">
        <v>5000</v>
      </c>
      <c r="K264" s="11">
        <v>65</v>
      </c>
      <c r="L264" s="11">
        <v>1</v>
      </c>
      <c r="M264" s="11">
        <f>(156.5+161+175+182)-(142+157.5+149.5+175.5)</f>
        <v>50</v>
      </c>
      <c r="N264" s="11"/>
      <c r="O264" s="11"/>
      <c r="P264" s="11"/>
      <c r="Q264" s="11"/>
      <c r="R264" s="11">
        <f t="shared" si="184"/>
        <v>5.8578498996257418</v>
      </c>
      <c r="S264" s="11">
        <f t="shared" si="185"/>
        <v>0.26798403329690895</v>
      </c>
      <c r="T264" s="11">
        <f t="shared" si="186"/>
        <v>161.96954972465176</v>
      </c>
      <c r="U264" s="55">
        <f t="shared" si="177"/>
        <v>0.84086799276672697</v>
      </c>
      <c r="V264" s="55">
        <f t="shared" si="178"/>
        <v>0.91851422898742563</v>
      </c>
      <c r="W264" s="55">
        <f t="shared" si="179"/>
        <v>1</v>
      </c>
      <c r="X264" s="11">
        <v>1543.5</v>
      </c>
      <c r="Y264" s="11">
        <v>1304</v>
      </c>
      <c r="Z264" s="11">
        <f t="shared" si="183"/>
        <v>0.15516682863621634</v>
      </c>
      <c r="AA264" s="10"/>
      <c r="AB264" s="11">
        <v>8.7999999999999995E-2</v>
      </c>
      <c r="AC264" s="11">
        <v>0.98499999999999999</v>
      </c>
      <c r="AD264" s="88">
        <v>0</v>
      </c>
      <c r="AE264" s="10"/>
      <c r="AF264" s="11"/>
      <c r="AG264" s="88"/>
      <c r="AH264" s="10"/>
      <c r="AI264" s="11">
        <v>0.55300000000000005</v>
      </c>
      <c r="AJ264" s="11">
        <v>12.087999999999999</v>
      </c>
      <c r="AK264" s="43">
        <v>0.02</v>
      </c>
    </row>
    <row r="265" spans="1:40" x14ac:dyDescent="0.35">
      <c r="A265" s="211"/>
      <c r="B265" s="11">
        <v>279</v>
      </c>
      <c r="C265" s="41" t="s">
        <v>184</v>
      </c>
      <c r="D265" s="11" t="s">
        <v>14</v>
      </c>
      <c r="E265" s="11">
        <v>1</v>
      </c>
      <c r="F265" s="11">
        <v>1022</v>
      </c>
      <c r="G265" s="11">
        <v>4</v>
      </c>
      <c r="H265" s="11">
        <v>95</v>
      </c>
      <c r="I265" s="11">
        <v>2</v>
      </c>
      <c r="J265" s="11">
        <v>5000</v>
      </c>
      <c r="K265" s="11">
        <v>65</v>
      </c>
      <c r="L265" s="11">
        <v>1</v>
      </c>
      <c r="M265" s="11">
        <f>(148+178.5)-(126.5+154.5)</f>
        <v>45.5</v>
      </c>
      <c r="N265" s="11"/>
      <c r="O265" s="11"/>
      <c r="P265" s="11"/>
      <c r="Q265" s="11"/>
      <c r="R265" s="11">
        <f t="shared" si="184"/>
        <v>5.0883414355385428</v>
      </c>
      <c r="S265" s="11">
        <f t="shared" si="185"/>
        <v>0.2327806761956332</v>
      </c>
      <c r="T265" s="11">
        <f t="shared" si="186"/>
        <v>140.69264069264068</v>
      </c>
      <c r="U265" s="55">
        <f t="shared" si="177"/>
        <v>0.9005424954792044</v>
      </c>
      <c r="V265" s="55">
        <f t="shared" si="178"/>
        <v>0.93299139642620776</v>
      </c>
      <c r="W265" s="55">
        <f t="shared" si="179"/>
        <v>1</v>
      </c>
      <c r="X265" s="11">
        <v>1617</v>
      </c>
      <c r="Y265" s="11">
        <v>1354</v>
      </c>
      <c r="Z265" s="11">
        <f t="shared" si="183"/>
        <v>0.16264687693259117</v>
      </c>
      <c r="AA265" s="10"/>
      <c r="AB265" s="11">
        <v>5.5E-2</v>
      </c>
      <c r="AC265" s="43">
        <v>0.81</v>
      </c>
      <c r="AD265" s="88">
        <v>0</v>
      </c>
      <c r="AE265" s="10"/>
      <c r="AF265" s="11"/>
      <c r="AG265" s="88"/>
      <c r="AH265" s="10"/>
      <c r="AI265" s="11">
        <v>0.55300000000000005</v>
      </c>
      <c r="AJ265" s="11">
        <v>12.087999999999999</v>
      </c>
      <c r="AK265" s="43">
        <v>0.02</v>
      </c>
    </row>
    <row r="266" spans="1:40" x14ac:dyDescent="0.35">
      <c r="A266" s="211"/>
      <c r="B266" s="11">
        <v>280</v>
      </c>
      <c r="C266" s="41" t="s">
        <v>184</v>
      </c>
      <c r="D266" s="11" t="s">
        <v>14</v>
      </c>
      <c r="E266" s="11">
        <v>1</v>
      </c>
      <c r="F266" s="11">
        <v>1022</v>
      </c>
      <c r="G266" s="11">
        <v>5</v>
      </c>
      <c r="H266" s="11">
        <v>120</v>
      </c>
      <c r="I266" s="11">
        <v>1</v>
      </c>
      <c r="J266" s="11">
        <v>5000</v>
      </c>
      <c r="K266" s="11">
        <v>65</v>
      </c>
      <c r="L266" s="11">
        <v>1</v>
      </c>
      <c r="M266" s="11">
        <f>(126.5+154.5+161.5+179.5)-(122.5+150.5+146.5+162.5)</f>
        <v>40</v>
      </c>
      <c r="N266" s="11"/>
      <c r="O266" s="11"/>
      <c r="P266" s="11"/>
      <c r="Q266" s="11"/>
      <c r="R266" s="11">
        <f t="shared" si="184"/>
        <v>4.2901975421458278</v>
      </c>
      <c r="S266" s="11">
        <f t="shared" si="185"/>
        <v>0.19626730979538742</v>
      </c>
      <c r="T266" s="11">
        <f t="shared" si="186"/>
        <v>118.62396204033215</v>
      </c>
      <c r="U266" s="55">
        <f t="shared" si="177"/>
        <v>0.86980108499095843</v>
      </c>
      <c r="V266" s="55">
        <f t="shared" si="178"/>
        <v>0.95201853077432164</v>
      </c>
      <c r="W266" s="55">
        <f t="shared" si="179"/>
        <v>1</v>
      </c>
      <c r="X266" s="11">
        <v>1686</v>
      </c>
      <c r="Y266" s="11">
        <v>1425</v>
      </c>
      <c r="Z266" s="11">
        <f t="shared" si="183"/>
        <v>0.15480427046263345</v>
      </c>
      <c r="AA266" s="10"/>
      <c r="AB266" s="11">
        <v>7.1999999999999995E-2</v>
      </c>
      <c r="AC266" s="43">
        <v>0.57999999999999996</v>
      </c>
      <c r="AD266" s="88">
        <v>0</v>
      </c>
      <c r="AE266" s="10"/>
      <c r="AF266" s="11"/>
      <c r="AG266" s="88"/>
      <c r="AH266" s="10"/>
      <c r="AI266" s="11">
        <v>0.55300000000000005</v>
      </c>
      <c r="AJ266" s="11">
        <v>12.087999999999999</v>
      </c>
      <c r="AK266" s="43">
        <v>0.02</v>
      </c>
    </row>
    <row r="267" spans="1:40" x14ac:dyDescent="0.35">
      <c r="A267" s="211"/>
      <c r="B267" s="11">
        <v>281</v>
      </c>
      <c r="C267" s="41" t="s">
        <v>184</v>
      </c>
      <c r="D267" s="11" t="s">
        <v>14</v>
      </c>
      <c r="E267" s="11">
        <v>1</v>
      </c>
      <c r="F267" s="11">
        <v>1022</v>
      </c>
      <c r="G267" s="11">
        <v>6</v>
      </c>
      <c r="H267" s="11">
        <v>90</v>
      </c>
      <c r="I267" s="11">
        <v>2</v>
      </c>
      <c r="J267" s="11">
        <v>5000</v>
      </c>
      <c r="K267" s="11">
        <v>65</v>
      </c>
      <c r="L267" s="11">
        <v>1</v>
      </c>
      <c r="M267" s="11">
        <f>(160.5+165)-(141+144.5)</f>
        <v>40</v>
      </c>
      <c r="N267" s="11"/>
      <c r="O267" s="11"/>
      <c r="P267" s="11"/>
      <c r="Q267" s="11"/>
      <c r="R267" s="11">
        <f t="shared" si="184"/>
        <v>5.0406084014340529</v>
      </c>
      <c r="S267" s="11">
        <f t="shared" si="185"/>
        <v>0.23059699255402313</v>
      </c>
      <c r="T267" s="11">
        <f t="shared" si="186"/>
        <v>139.37282229965155</v>
      </c>
      <c r="U267" s="55">
        <f t="shared" si="177"/>
        <v>0.88426763110307416</v>
      </c>
      <c r="V267" s="55">
        <f t="shared" si="178"/>
        <v>0.94382859033752475</v>
      </c>
      <c r="W267" s="55">
        <f t="shared" si="179"/>
        <v>1</v>
      </c>
      <c r="X267" s="11">
        <v>1435</v>
      </c>
      <c r="Y267" s="11">
        <v>1195</v>
      </c>
      <c r="Z267" s="11">
        <f t="shared" si="183"/>
        <v>0.16724738675958184</v>
      </c>
      <c r="AA267" s="10"/>
      <c r="AB267" s="11">
        <v>6.4000000000000001E-2</v>
      </c>
      <c r="AC267" s="11">
        <v>0.67900000000000005</v>
      </c>
      <c r="AD267" s="88">
        <v>0</v>
      </c>
      <c r="AE267" s="10"/>
      <c r="AF267" s="11"/>
      <c r="AG267" s="88"/>
      <c r="AH267" s="10"/>
      <c r="AI267" s="11">
        <v>0.55300000000000005</v>
      </c>
      <c r="AJ267" s="11">
        <v>12.087999999999999</v>
      </c>
      <c r="AK267" s="43">
        <v>0.02</v>
      </c>
    </row>
    <row r="268" spans="1:40" x14ac:dyDescent="0.35">
      <c r="A268" s="211"/>
      <c r="B268" s="11">
        <v>282</v>
      </c>
      <c r="C268" s="41" t="s">
        <v>184</v>
      </c>
      <c r="D268" s="11" t="s">
        <v>14</v>
      </c>
      <c r="E268" s="11">
        <v>1</v>
      </c>
      <c r="F268" s="11">
        <v>1022</v>
      </c>
      <c r="G268" s="11">
        <v>7</v>
      </c>
      <c r="H268" s="11">
        <v>90</v>
      </c>
      <c r="I268" s="11">
        <v>1</v>
      </c>
      <c r="J268" s="11">
        <v>5000</v>
      </c>
      <c r="K268" s="11">
        <v>65</v>
      </c>
      <c r="L268" s="11">
        <v>1</v>
      </c>
      <c r="M268" s="11">
        <f>(141+144.5+160.5+183)-(135+137.5+138.5+178)</f>
        <v>40</v>
      </c>
      <c r="N268" s="11"/>
      <c r="O268" s="11"/>
      <c r="P268" s="11"/>
      <c r="Q268" s="11"/>
      <c r="R268" s="11">
        <f t="shared" si="184"/>
        <v>5.1046387128143023</v>
      </c>
      <c r="S268" s="11">
        <f t="shared" si="185"/>
        <v>0.23352624157729229</v>
      </c>
      <c r="T268" s="11">
        <f t="shared" si="186"/>
        <v>141.14326040931545</v>
      </c>
      <c r="U268" s="55">
        <f t="shared" si="177"/>
        <v>0.81374321880651002</v>
      </c>
      <c r="V268" s="55">
        <f t="shared" si="178"/>
        <v>0.90900066181336869</v>
      </c>
      <c r="W268" s="55">
        <f t="shared" si="179"/>
        <v>1</v>
      </c>
      <c r="X268" s="11">
        <v>1417</v>
      </c>
      <c r="Y268" s="11">
        <v>1226</v>
      </c>
      <c r="Z268" s="11">
        <f t="shared" si="183"/>
        <v>0.13479181369089621</v>
      </c>
      <c r="AA268" s="10"/>
      <c r="AB268" s="11">
        <v>0.10299999999999999</v>
      </c>
      <c r="AC268" s="43">
        <v>1.1000000000000001</v>
      </c>
      <c r="AD268" s="88">
        <v>0</v>
      </c>
      <c r="AE268" s="10"/>
      <c r="AF268" s="11"/>
      <c r="AG268" s="88"/>
      <c r="AH268" s="10"/>
      <c r="AI268" s="11">
        <v>0.55300000000000005</v>
      </c>
      <c r="AJ268" s="11">
        <v>12.087999999999999</v>
      </c>
      <c r="AK268" s="43">
        <v>0.02</v>
      </c>
    </row>
    <row r="269" spans="1:40" s="213" customFormat="1" ht="15" thickBot="1" x14ac:dyDescent="0.4">
      <c r="A269" s="212"/>
      <c r="B269" s="148">
        <v>283</v>
      </c>
      <c r="C269" s="178" t="s">
        <v>184</v>
      </c>
      <c r="D269" s="148" t="s">
        <v>14</v>
      </c>
      <c r="E269" s="148">
        <v>1</v>
      </c>
      <c r="F269" s="148">
        <v>1022</v>
      </c>
      <c r="G269" s="148">
        <v>8</v>
      </c>
      <c r="H269" s="148">
        <v>120</v>
      </c>
      <c r="I269" s="148">
        <v>2</v>
      </c>
      <c r="J269" s="148">
        <v>5000</v>
      </c>
      <c r="K269" s="148">
        <v>65</v>
      </c>
      <c r="L269" s="148">
        <v>1</v>
      </c>
      <c r="M269" s="148">
        <f>(166+165.5+138.5+177.5)-(166+137.5+129+175)</f>
        <v>40</v>
      </c>
      <c r="N269" s="148"/>
      <c r="O269" s="148"/>
      <c r="P269" s="148"/>
      <c r="Q269" s="148"/>
      <c r="R269" s="148">
        <f t="shared" si="184"/>
        <v>5.3699131819286308</v>
      </c>
      <c r="S269" s="148">
        <f t="shared" si="185"/>
        <v>0.2456619779621553</v>
      </c>
      <c r="T269" s="148">
        <f t="shared" si="186"/>
        <v>148.47809948032665</v>
      </c>
      <c r="U269" s="149">
        <f t="shared" si="177"/>
        <v>0.70886075949367089</v>
      </c>
      <c r="V269" s="149">
        <f t="shared" si="178"/>
        <v>0.84397749834546665</v>
      </c>
      <c r="W269" s="149">
        <f t="shared" si="179"/>
        <v>0.7</v>
      </c>
      <c r="X269" s="148">
        <v>1347</v>
      </c>
      <c r="Y269" s="148">
        <v>1158.5</v>
      </c>
      <c r="Z269" s="11">
        <f t="shared" si="183"/>
        <v>0.13994060876020786</v>
      </c>
      <c r="AA269" s="153"/>
      <c r="AB269" s="148">
        <v>0.161</v>
      </c>
      <c r="AC269" s="148">
        <v>1.8859999999999999</v>
      </c>
      <c r="AD269" s="152">
        <v>6.0000000000000001E-3</v>
      </c>
      <c r="AE269" s="153"/>
      <c r="AF269" s="148"/>
      <c r="AG269" s="152"/>
      <c r="AH269" s="153"/>
      <c r="AI269" s="148">
        <v>0.55300000000000005</v>
      </c>
      <c r="AJ269" s="148">
        <v>12.087999999999999</v>
      </c>
      <c r="AK269" s="190">
        <v>0.02</v>
      </c>
      <c r="AL269" s="215"/>
      <c r="AN269" s="214"/>
    </row>
    <row r="270" spans="1:40" x14ac:dyDescent="0.35">
      <c r="B270" s="15">
        <v>284</v>
      </c>
      <c r="C270" s="47" t="s">
        <v>185</v>
      </c>
      <c r="D270" s="15" t="s">
        <v>9</v>
      </c>
      <c r="E270" s="15">
        <v>1</v>
      </c>
      <c r="F270" s="15">
        <v>1032</v>
      </c>
      <c r="G270" s="15">
        <v>1</v>
      </c>
      <c r="H270" s="15">
        <v>85</v>
      </c>
      <c r="I270" s="15">
        <v>1</v>
      </c>
      <c r="J270" s="15">
        <v>5000</v>
      </c>
      <c r="K270" s="15">
        <v>65</v>
      </c>
      <c r="L270" s="15">
        <v>1</v>
      </c>
      <c r="M270" s="15">
        <f>(153.5+167)-(131.5+144)</f>
        <v>45</v>
      </c>
      <c r="N270" s="15"/>
      <c r="O270" s="15"/>
      <c r="P270" s="15"/>
      <c r="Q270" s="15"/>
      <c r="R270" s="15">
        <f t="shared" si="184"/>
        <v>0.49252101368267148</v>
      </c>
      <c r="S270" s="15">
        <f t="shared" si="185"/>
        <v>0.2966929417935919</v>
      </c>
      <c r="T270" s="15">
        <f t="shared" si="186"/>
        <v>38.909160080931059</v>
      </c>
      <c r="U270" s="97">
        <f t="shared" si="177"/>
        <v>0.732089429557784</v>
      </c>
      <c r="V270" s="97">
        <f t="shared" si="178"/>
        <v>0.88866112101406225</v>
      </c>
      <c r="W270" s="97">
        <f t="shared" si="179"/>
        <v>1</v>
      </c>
      <c r="X270" s="15">
        <v>1502</v>
      </c>
      <c r="Y270" s="15">
        <v>1214</v>
      </c>
      <c r="Z270" s="15">
        <f t="shared" si="183"/>
        <v>0.19174434087882819</v>
      </c>
      <c r="AA270" s="15"/>
      <c r="AB270" s="15">
        <v>1.6296999999999999</v>
      </c>
      <c r="AC270" s="15">
        <v>1.1243000000000001</v>
      </c>
      <c r="AD270" s="101">
        <v>0</v>
      </c>
      <c r="AE270" s="14"/>
      <c r="AF270" s="15"/>
      <c r="AG270" s="101"/>
      <c r="AH270" s="14"/>
      <c r="AI270" s="15">
        <v>6.0830000000000002</v>
      </c>
      <c r="AJ270" s="15">
        <v>10.098000000000001</v>
      </c>
      <c r="AK270" s="126">
        <v>7.6999999999999999E-2</v>
      </c>
    </row>
    <row r="271" spans="1:40" x14ac:dyDescent="0.35">
      <c r="B271" s="15">
        <v>285</v>
      </c>
      <c r="C271" s="47" t="s">
        <v>185</v>
      </c>
      <c r="D271" s="15" t="s">
        <v>9</v>
      </c>
      <c r="E271" s="15">
        <v>1</v>
      </c>
      <c r="F271" s="15">
        <v>1032</v>
      </c>
      <c r="G271" s="15">
        <v>2</v>
      </c>
      <c r="H271" s="15">
        <v>100</v>
      </c>
      <c r="I271" s="15">
        <v>2</v>
      </c>
      <c r="J271" s="15">
        <v>5000</v>
      </c>
      <c r="K271" s="15">
        <v>65</v>
      </c>
      <c r="L271" s="15">
        <v>1</v>
      </c>
      <c r="M271" s="15">
        <f>(173.5+159.5)-(148.5+133)</f>
        <v>51.5</v>
      </c>
      <c r="N271" s="15"/>
      <c r="O271" s="15"/>
      <c r="P271" s="15"/>
      <c r="Q271" s="15"/>
      <c r="R271" s="15">
        <f t="shared" si="184"/>
        <v>0.55443466450404844</v>
      </c>
      <c r="S271" s="15">
        <f t="shared" si="185"/>
        <v>0.3339895092273843</v>
      </c>
      <c r="T271" s="15">
        <f t="shared" si="186"/>
        <v>43.800338495819837</v>
      </c>
      <c r="U271" s="97">
        <f t="shared" si="177"/>
        <v>0.88903501561729414</v>
      </c>
      <c r="V271" s="97">
        <f t="shared" si="178"/>
        <v>0.95196078431372555</v>
      </c>
      <c r="W271" s="97">
        <f t="shared" si="179"/>
        <v>0.85584415584415585</v>
      </c>
      <c r="X271" s="15">
        <v>1527</v>
      </c>
      <c r="Y271" s="15">
        <v>1224</v>
      </c>
      <c r="Z271" s="15">
        <f t="shared" si="183"/>
        <v>0.19842829076620827</v>
      </c>
      <c r="AA271" s="15"/>
      <c r="AB271" s="127">
        <v>0.67500000000000004</v>
      </c>
      <c r="AC271" s="15">
        <v>0.48509999999999998</v>
      </c>
      <c r="AD271" s="101">
        <v>1.11E-2</v>
      </c>
      <c r="AE271" s="14"/>
      <c r="AF271" s="15"/>
      <c r="AG271" s="101"/>
      <c r="AH271" s="14"/>
      <c r="AI271" s="15">
        <v>6.0830000000000002</v>
      </c>
      <c r="AJ271" s="15">
        <v>10.098000000000001</v>
      </c>
      <c r="AK271" s="126">
        <v>7.6999999999999999E-2</v>
      </c>
    </row>
    <row r="272" spans="1:40" x14ac:dyDescent="0.35">
      <c r="B272" s="15">
        <v>286</v>
      </c>
      <c r="C272" s="47" t="s">
        <v>185</v>
      </c>
      <c r="D272" s="15" t="s">
        <v>9</v>
      </c>
      <c r="E272" s="15">
        <v>1</v>
      </c>
      <c r="F272" s="15">
        <v>1032</v>
      </c>
      <c r="G272" s="15">
        <v>3</v>
      </c>
      <c r="H272" s="15">
        <v>100</v>
      </c>
      <c r="I272" s="15">
        <v>2</v>
      </c>
      <c r="J272" s="15">
        <v>5000</v>
      </c>
      <c r="K272" s="15">
        <v>65</v>
      </c>
      <c r="L272" s="15">
        <v>1</v>
      </c>
      <c r="M272" s="15">
        <f>(161+186)-(130.5+157.5)</f>
        <v>59</v>
      </c>
      <c r="N272" s="15"/>
      <c r="O272" s="15"/>
      <c r="P272" s="15"/>
      <c r="Q272" s="15"/>
      <c r="R272" s="15">
        <f t="shared" si="184"/>
        <v>0.64510552696347023</v>
      </c>
      <c r="S272" s="15">
        <f t="shared" si="185"/>
        <v>0.38860932070893134</v>
      </c>
      <c r="T272" s="15">
        <f t="shared" si="186"/>
        <v>50.963336630114149</v>
      </c>
      <c r="U272" s="97">
        <f t="shared" si="177"/>
        <v>0.79049810948545129</v>
      </c>
      <c r="V272" s="97">
        <f t="shared" si="178"/>
        <v>0.91754802931273527</v>
      </c>
      <c r="W272" s="97">
        <f t="shared" si="179"/>
        <v>0.73376623376623373</v>
      </c>
      <c r="X272" s="15">
        <v>1503.5</v>
      </c>
      <c r="Y272" s="15">
        <v>1167.5</v>
      </c>
      <c r="Z272" s="15">
        <f t="shared" si="183"/>
        <v>0.2234785500498836</v>
      </c>
      <c r="AA272" s="15"/>
      <c r="AB272" s="15">
        <v>1.2744</v>
      </c>
      <c r="AC272" s="15">
        <v>0.83260000000000001</v>
      </c>
      <c r="AD272" s="101">
        <v>2.0500000000000001E-2</v>
      </c>
      <c r="AE272" s="14"/>
      <c r="AF272" s="15"/>
      <c r="AG272" s="101"/>
      <c r="AH272" s="14"/>
      <c r="AI272" s="15">
        <v>6.0830000000000002</v>
      </c>
      <c r="AJ272" s="15">
        <v>10.098000000000001</v>
      </c>
      <c r="AK272" s="126">
        <v>7.6999999999999999E-2</v>
      </c>
    </row>
    <row r="273" spans="1:40" x14ac:dyDescent="0.35">
      <c r="B273" s="15">
        <v>287</v>
      </c>
      <c r="C273" s="47" t="s">
        <v>186</v>
      </c>
      <c r="D273" s="15" t="s">
        <v>9</v>
      </c>
      <c r="E273" s="15">
        <v>1</v>
      </c>
      <c r="F273" s="15">
        <v>1032</v>
      </c>
      <c r="G273" s="15">
        <v>4</v>
      </c>
      <c r="H273" s="15">
        <v>110</v>
      </c>
      <c r="I273" s="15">
        <v>1</v>
      </c>
      <c r="J273" s="15">
        <v>5000</v>
      </c>
      <c r="K273" s="15">
        <v>65</v>
      </c>
      <c r="L273" s="15">
        <v>1</v>
      </c>
      <c r="M273" s="15">
        <f>(158.5+163.5+171+176.5)-(156+160+137.5+161)</f>
        <v>55</v>
      </c>
      <c r="N273" s="15"/>
      <c r="O273" s="15"/>
      <c r="P273" s="15"/>
      <c r="Q273" s="15"/>
      <c r="R273" s="15">
        <f t="shared" si="184"/>
        <v>0.58521626667134841</v>
      </c>
      <c r="S273" s="15">
        <f t="shared" si="185"/>
        <v>0.3525322390732632</v>
      </c>
      <c r="T273" s="15">
        <f t="shared" si="186"/>
        <v>46.232085067036529</v>
      </c>
      <c r="U273" s="97">
        <f t="shared" si="177"/>
        <v>0.86276508301824761</v>
      </c>
      <c r="V273" s="97">
        <f t="shared" si="178"/>
        <v>0.93408595761536939</v>
      </c>
      <c r="W273" s="97">
        <f t="shared" si="179"/>
        <v>0.80519480519480524</v>
      </c>
      <c r="X273" s="15">
        <v>1545</v>
      </c>
      <c r="Y273" s="15">
        <v>1242</v>
      </c>
      <c r="Z273" s="15">
        <f t="shared" si="183"/>
        <v>0.19611650485436893</v>
      </c>
      <c r="AA273" s="15"/>
      <c r="AB273" s="15">
        <v>0.83479999999999999</v>
      </c>
      <c r="AC273" s="15">
        <v>0.66559999999999997</v>
      </c>
      <c r="AD273" s="101">
        <v>1.4999999999999999E-2</v>
      </c>
      <c r="AE273" s="14"/>
      <c r="AF273" s="15"/>
      <c r="AG273" s="101"/>
      <c r="AH273" s="14"/>
      <c r="AI273" s="15">
        <v>6.0830000000000002</v>
      </c>
      <c r="AJ273" s="15">
        <v>10.098000000000001</v>
      </c>
      <c r="AK273" s="126">
        <v>7.6999999999999999E-2</v>
      </c>
    </row>
    <row r="274" spans="1:40" x14ac:dyDescent="0.35">
      <c r="B274" s="15">
        <v>288</v>
      </c>
      <c r="C274" s="47" t="s">
        <v>186</v>
      </c>
      <c r="D274" s="15" t="s">
        <v>9</v>
      </c>
      <c r="E274" s="15">
        <v>1</v>
      </c>
      <c r="F274" s="15">
        <v>1032</v>
      </c>
      <c r="G274" s="15">
        <v>5</v>
      </c>
      <c r="H274" s="15">
        <v>130</v>
      </c>
      <c r="I274" s="15">
        <v>2</v>
      </c>
      <c r="J274" s="15">
        <v>5000</v>
      </c>
      <c r="K274" s="15">
        <v>65</v>
      </c>
      <c r="L274" s="15">
        <v>1</v>
      </c>
      <c r="M274" s="15">
        <f>(155.5+157+172.5+154)-(155.5+131.5+158+139)</f>
        <v>55</v>
      </c>
      <c r="N274" s="15"/>
      <c r="O274" s="15"/>
      <c r="P274" s="15"/>
      <c r="Q274" s="15"/>
      <c r="R274" s="15">
        <f t="shared" si="184"/>
        <v>0.5993762890336316</v>
      </c>
      <c r="S274" s="15">
        <f t="shared" si="185"/>
        <v>0.36106218718474753</v>
      </c>
      <c r="T274" s="15">
        <f t="shared" si="186"/>
        <v>47.350726833656893</v>
      </c>
      <c r="U274" s="97">
        <f t="shared" si="177"/>
        <v>0.55605786618444852</v>
      </c>
      <c r="V274" s="97">
        <f t="shared" si="178"/>
        <v>0.80429788076846898</v>
      </c>
      <c r="W274" s="97">
        <f t="shared" si="179"/>
        <v>0.46363636363636357</v>
      </c>
      <c r="X274" s="15">
        <v>1508.5</v>
      </c>
      <c r="Y274" s="15">
        <v>1206.5</v>
      </c>
      <c r="Z274" s="15">
        <f t="shared" si="183"/>
        <v>0.20019887305270134</v>
      </c>
      <c r="AA274" s="15"/>
      <c r="AB274" s="15">
        <v>2.7004999999999999</v>
      </c>
      <c r="AC274" s="15">
        <v>1.9762</v>
      </c>
      <c r="AD274" s="101">
        <v>4.1300000000000003E-2</v>
      </c>
      <c r="AE274" s="14"/>
      <c r="AF274" s="15"/>
      <c r="AG274" s="101"/>
      <c r="AH274" s="14"/>
      <c r="AI274" s="15">
        <v>6.0830000000000002</v>
      </c>
      <c r="AJ274" s="15">
        <v>10.098000000000001</v>
      </c>
      <c r="AK274" s="126">
        <v>7.6999999999999999E-2</v>
      </c>
    </row>
    <row r="275" spans="1:40" x14ac:dyDescent="0.35">
      <c r="B275" s="15">
        <v>289</v>
      </c>
      <c r="C275" s="47" t="s">
        <v>186</v>
      </c>
      <c r="D275" s="15" t="s">
        <v>9</v>
      </c>
      <c r="E275" s="15">
        <v>1</v>
      </c>
      <c r="F275" s="15">
        <v>1032</v>
      </c>
      <c r="G275" s="15">
        <v>6</v>
      </c>
      <c r="H275" s="15">
        <v>130</v>
      </c>
      <c r="I275" s="15">
        <v>1</v>
      </c>
      <c r="J275" s="15">
        <v>5000</v>
      </c>
      <c r="K275" s="15">
        <v>65</v>
      </c>
      <c r="L275" s="15">
        <v>1</v>
      </c>
      <c r="M275" s="15">
        <f>(161+178.5+158+139)-(140.5+156.5+149+130)</f>
        <v>60.5</v>
      </c>
      <c r="N275" s="15"/>
      <c r="O275" s="15"/>
      <c r="P275" s="15"/>
      <c r="Q275" s="15"/>
      <c r="R275" s="15">
        <f t="shared" si="184"/>
        <v>0.65260829738054893</v>
      </c>
      <c r="S275" s="15">
        <f t="shared" si="185"/>
        <v>0.39312896345473147</v>
      </c>
      <c r="T275" s="15">
        <f t="shared" si="186"/>
        <v>51.556055493063376</v>
      </c>
      <c r="U275" s="97">
        <f t="shared" si="177"/>
        <v>0.94890678941311846</v>
      </c>
      <c r="V275" s="97">
        <f t="shared" si="178"/>
        <v>0.97540106951871652</v>
      </c>
      <c r="W275" s="97">
        <f t="shared" si="179"/>
        <v>0.91168831168831166</v>
      </c>
      <c r="X275" s="15">
        <v>1524</v>
      </c>
      <c r="Y275" s="15">
        <v>1159</v>
      </c>
      <c r="Z275" s="15">
        <f t="shared" si="183"/>
        <v>0.23950131233595795</v>
      </c>
      <c r="AA275" s="15"/>
      <c r="AB275" s="15">
        <v>0.31080000000000002</v>
      </c>
      <c r="AC275" s="15">
        <v>0.24840000000000001</v>
      </c>
      <c r="AD275" s="101">
        <v>6.7999999999999996E-3</v>
      </c>
      <c r="AE275" s="14"/>
      <c r="AF275" s="15"/>
      <c r="AG275" s="101"/>
      <c r="AH275" s="14"/>
      <c r="AI275" s="15">
        <v>6.0830000000000002</v>
      </c>
      <c r="AJ275" s="15">
        <v>10.098000000000001</v>
      </c>
      <c r="AK275" s="126">
        <v>7.6999999999999999E-2</v>
      </c>
    </row>
    <row r="276" spans="1:40" x14ac:dyDescent="0.35">
      <c r="B276" s="15">
        <v>290</v>
      </c>
      <c r="C276" s="47" t="s">
        <v>186</v>
      </c>
      <c r="D276" s="15" t="s">
        <v>9</v>
      </c>
      <c r="E276" s="15">
        <v>1</v>
      </c>
      <c r="F276" s="15">
        <v>1032</v>
      </c>
      <c r="G276" s="15">
        <v>7</v>
      </c>
      <c r="H276" s="15">
        <v>130</v>
      </c>
      <c r="I276" s="15">
        <v>2</v>
      </c>
      <c r="J276" s="15">
        <v>5000</v>
      </c>
      <c r="K276" s="15">
        <v>65</v>
      </c>
      <c r="L276" s="15">
        <v>1</v>
      </c>
      <c r="M276" s="15">
        <f>(153.5+166+181+170)-(139.5+149.5+152+169.5)</f>
        <v>60</v>
      </c>
      <c r="N276" s="15"/>
      <c r="O276" s="15"/>
      <c r="P276" s="15"/>
      <c r="Q276" s="15"/>
      <c r="R276" s="15">
        <f t="shared" si="184"/>
        <v>0.65625776229884469</v>
      </c>
      <c r="S276" s="15">
        <f t="shared" si="185"/>
        <v>0.39532738840006648</v>
      </c>
      <c r="T276" s="15">
        <f t="shared" si="186"/>
        <v>51.844363221608738</v>
      </c>
      <c r="U276" s="97">
        <f t="shared" si="177"/>
        <v>0.8741574880815387</v>
      </c>
      <c r="V276" s="97">
        <f t="shared" si="178"/>
        <v>0.94966329966329965</v>
      </c>
      <c r="W276" s="97">
        <f t="shared" si="179"/>
        <v>0.76753246753246751</v>
      </c>
      <c r="X276" s="15">
        <v>1503</v>
      </c>
      <c r="Y276" s="15">
        <v>1167</v>
      </c>
      <c r="Z276" s="15">
        <f t="shared" si="183"/>
        <v>0.22355289421157687</v>
      </c>
      <c r="AA276" s="15"/>
      <c r="AB276" s="15">
        <v>0.76549999999999996</v>
      </c>
      <c r="AC276" s="15">
        <v>0.50829999999999997</v>
      </c>
      <c r="AD276" s="101">
        <v>1.7899999999999999E-2</v>
      </c>
      <c r="AE276" s="14"/>
      <c r="AF276" s="15"/>
      <c r="AG276" s="101"/>
      <c r="AH276" s="14"/>
      <c r="AI276" s="15">
        <v>6.0830000000000002</v>
      </c>
      <c r="AJ276" s="15">
        <v>10.098000000000001</v>
      </c>
      <c r="AK276" s="126">
        <v>7.6999999999999999E-2</v>
      </c>
    </row>
    <row r="277" spans="1:40" x14ac:dyDescent="0.35">
      <c r="B277" s="15">
        <v>291</v>
      </c>
      <c r="C277" s="47" t="s">
        <v>187</v>
      </c>
      <c r="D277" s="15" t="s">
        <v>9</v>
      </c>
      <c r="E277" s="15">
        <v>1</v>
      </c>
      <c r="F277" s="15">
        <v>1032</v>
      </c>
      <c r="G277" s="15">
        <v>8</v>
      </c>
      <c r="H277" s="15">
        <v>120</v>
      </c>
      <c r="I277" s="15">
        <v>1</v>
      </c>
      <c r="J277" s="15">
        <v>5000</v>
      </c>
      <c r="K277" s="15">
        <v>65</v>
      </c>
      <c r="L277" s="15">
        <v>1</v>
      </c>
      <c r="M277" s="15">
        <f>(139.5+149.5+165.5+173)-(126.5+135.5+146+159.5)</f>
        <v>60</v>
      </c>
      <c r="N277" s="15"/>
      <c r="O277" s="15"/>
      <c r="P277" s="15"/>
      <c r="Q277" s="15"/>
      <c r="R277" s="15">
        <f t="shared" si="184"/>
        <v>0.65213581271746346</v>
      </c>
      <c r="S277" s="15">
        <f t="shared" si="185"/>
        <v>0.39284434034069421</v>
      </c>
      <c r="T277" s="15">
        <f t="shared" si="186"/>
        <v>51.518729204679616</v>
      </c>
      <c r="U277" s="97">
        <f t="shared" si="177"/>
        <v>0.93642939339141862</v>
      </c>
      <c r="V277" s="97">
        <f t="shared" si="178"/>
        <v>0.96661715191126962</v>
      </c>
      <c r="W277" s="97">
        <f t="shared" si="179"/>
        <v>0.88311688311688319</v>
      </c>
      <c r="X277" s="15">
        <v>1512.5</v>
      </c>
      <c r="Y277" s="15">
        <v>1168</v>
      </c>
      <c r="Z277" s="15">
        <f t="shared" si="183"/>
        <v>0.2277685950413223</v>
      </c>
      <c r="AA277" s="15"/>
      <c r="AB277" s="15">
        <v>0.38669999999999999</v>
      </c>
      <c r="AC277" s="15">
        <v>0.33710000000000001</v>
      </c>
      <c r="AD277" s="128">
        <v>8.9999999999999993E-3</v>
      </c>
      <c r="AE277" s="14"/>
      <c r="AF277" s="15"/>
      <c r="AG277" s="101"/>
      <c r="AH277" s="14"/>
      <c r="AI277" s="15">
        <v>6.0830000000000002</v>
      </c>
      <c r="AJ277" s="15">
        <v>10.098000000000001</v>
      </c>
      <c r="AK277" s="126">
        <v>7.6999999999999999E-2</v>
      </c>
    </row>
    <row r="278" spans="1:40" x14ac:dyDescent="0.35">
      <c r="B278" s="15">
        <v>292</v>
      </c>
      <c r="C278" s="47" t="s">
        <v>187</v>
      </c>
      <c r="D278" s="15" t="s">
        <v>9</v>
      </c>
      <c r="E278" s="15">
        <v>1</v>
      </c>
      <c r="F278" s="15">
        <v>1032</v>
      </c>
      <c r="G278" s="15">
        <v>9</v>
      </c>
      <c r="H278" s="15">
        <v>130</v>
      </c>
      <c r="I278" s="15">
        <v>2</v>
      </c>
      <c r="J278" s="15">
        <v>5000</v>
      </c>
      <c r="K278" s="15">
        <v>65</v>
      </c>
      <c r="L278" s="15">
        <v>1</v>
      </c>
      <c r="M278" s="15">
        <f>(157+181.5+146+159.5)-(131.5+166+137+149.5)</f>
        <v>60</v>
      </c>
      <c r="N278" s="15"/>
      <c r="O278" s="15"/>
      <c r="P278" s="15"/>
      <c r="Q278" s="15"/>
      <c r="R278" s="15">
        <f t="shared" si="184"/>
        <v>0.62805184128313496</v>
      </c>
      <c r="S278" s="15">
        <f t="shared" si="185"/>
        <v>0.37833623990149629</v>
      </c>
      <c r="T278" s="15">
        <f t="shared" si="186"/>
        <v>49.616095461367671</v>
      </c>
      <c r="U278" s="97">
        <f t="shared" si="177"/>
        <v>0.76679270096991625</v>
      </c>
      <c r="V278" s="97">
        <f t="shared" si="178"/>
        <v>0.8694097841156665</v>
      </c>
      <c r="W278" s="97">
        <f t="shared" si="179"/>
        <v>0.74805194805194808</v>
      </c>
      <c r="X278" s="15">
        <v>1570.5</v>
      </c>
      <c r="Y278" s="15">
        <v>1238</v>
      </c>
      <c r="Z278" s="15">
        <f t="shared" si="183"/>
        <v>0.21171601400827766</v>
      </c>
      <c r="AA278" s="15"/>
      <c r="AB278" s="15">
        <v>1.4186000000000001</v>
      </c>
      <c r="AC278" s="15">
        <v>1.3187</v>
      </c>
      <c r="AD278" s="101">
        <v>1.9400000000000001E-2</v>
      </c>
      <c r="AE278" s="14"/>
      <c r="AF278" s="15"/>
      <c r="AG278" s="101"/>
      <c r="AH278" s="14"/>
      <c r="AI278" s="15">
        <v>6.0830000000000002</v>
      </c>
      <c r="AJ278" s="15">
        <v>10.098000000000001</v>
      </c>
      <c r="AK278" s="126">
        <v>7.6999999999999999E-2</v>
      </c>
    </row>
    <row r="279" spans="1:40" x14ac:dyDescent="0.35">
      <c r="B279" s="15">
        <v>293</v>
      </c>
      <c r="C279" s="47" t="s">
        <v>187</v>
      </c>
      <c r="D279" s="15" t="s">
        <v>9</v>
      </c>
      <c r="E279" s="15">
        <v>1</v>
      </c>
      <c r="F279" s="15">
        <v>1032</v>
      </c>
      <c r="G279" s="15">
        <v>10</v>
      </c>
      <c r="H279" s="15">
        <v>130</v>
      </c>
      <c r="I279" s="15">
        <v>1</v>
      </c>
      <c r="J279" s="15">
        <v>5000</v>
      </c>
      <c r="K279" s="15">
        <v>65</v>
      </c>
      <c r="L279" s="15">
        <v>1</v>
      </c>
      <c r="M279" s="15">
        <f>(131.5+166+170.5+184)-(127+160.5+145.5+159)</f>
        <v>60</v>
      </c>
      <c r="N279" s="15"/>
      <c r="O279" s="15"/>
      <c r="P279" s="15"/>
      <c r="Q279" s="15"/>
      <c r="R279" s="15">
        <f t="shared" si="184"/>
        <v>0.65625776229884469</v>
      </c>
      <c r="S279" s="15">
        <f t="shared" si="185"/>
        <v>0.39532738840006648</v>
      </c>
      <c r="T279" s="15">
        <f t="shared" si="186"/>
        <v>51.844363221608738</v>
      </c>
      <c r="U279" s="97">
        <f t="shared" si="177"/>
        <v>0.98093046194312028</v>
      </c>
      <c r="V279" s="97">
        <f t="shared" si="178"/>
        <v>0.9889086947910477</v>
      </c>
      <c r="W279" s="97">
        <f t="shared" si="179"/>
        <v>1</v>
      </c>
      <c r="X279" s="15">
        <v>1503</v>
      </c>
      <c r="Y279" s="15">
        <v>1173</v>
      </c>
      <c r="Z279" s="15">
        <f t="shared" si="183"/>
        <v>0.219560878243513</v>
      </c>
      <c r="AA279" s="15"/>
      <c r="AB279" s="15">
        <v>0.11600000000000001</v>
      </c>
      <c r="AC279" s="15">
        <v>0.112</v>
      </c>
      <c r="AD279" s="101">
        <v>0</v>
      </c>
      <c r="AE279" s="14"/>
      <c r="AF279" s="15"/>
      <c r="AG279" s="101"/>
      <c r="AH279" s="14"/>
      <c r="AI279" s="15">
        <v>6.0830000000000002</v>
      </c>
      <c r="AJ279" s="15">
        <v>10.098000000000001</v>
      </c>
      <c r="AK279" s="126">
        <v>7.6999999999999999E-2</v>
      </c>
    </row>
    <row r="280" spans="1:40" ht="15" thickBot="1" x14ac:dyDescent="0.4">
      <c r="B280" s="15">
        <v>294</v>
      </c>
      <c r="C280" s="47" t="s">
        <v>187</v>
      </c>
      <c r="D280" s="15" t="s">
        <v>9</v>
      </c>
      <c r="E280" s="15">
        <v>1</v>
      </c>
      <c r="F280" s="15">
        <v>1032</v>
      </c>
      <c r="G280" s="15">
        <v>11</v>
      </c>
      <c r="H280" s="15">
        <v>100</v>
      </c>
      <c r="I280" s="15">
        <v>2</v>
      </c>
      <c r="J280" s="15">
        <v>5000</v>
      </c>
      <c r="K280" s="15">
        <v>65</v>
      </c>
      <c r="L280" s="15">
        <v>1</v>
      </c>
      <c r="M280" s="15">
        <f>(154+160.5)-(132.5+136.5)</f>
        <v>45.5</v>
      </c>
      <c r="N280" s="15"/>
      <c r="O280" s="15"/>
      <c r="P280" s="15"/>
      <c r="Q280" s="15"/>
      <c r="R280" s="15">
        <f t="shared" si="184"/>
        <v>0.68622586332492275</v>
      </c>
      <c r="S280" s="15">
        <f t="shared" si="185"/>
        <v>0.41338006799420718</v>
      </c>
      <c r="T280" s="15">
        <f t="shared" si="186"/>
        <v>54.211843202668895</v>
      </c>
      <c r="U280" s="97">
        <f t="shared" si="177"/>
        <v>0.91024165707710003</v>
      </c>
      <c r="V280" s="97">
        <f t="shared" si="178"/>
        <v>0.96108140225787275</v>
      </c>
      <c r="W280" s="97">
        <f t="shared" si="179"/>
        <v>1</v>
      </c>
      <c r="X280" s="15">
        <v>1090</v>
      </c>
      <c r="Y280" s="15">
        <v>856</v>
      </c>
      <c r="Z280" s="15">
        <f t="shared" si="183"/>
        <v>0.21467889908256876</v>
      </c>
      <c r="AA280" s="15"/>
      <c r="AB280" s="15">
        <v>0.54600000000000004</v>
      </c>
      <c r="AC280" s="15">
        <v>0.39300000000000002</v>
      </c>
      <c r="AD280" s="101">
        <v>0</v>
      </c>
      <c r="AE280" s="14"/>
      <c r="AF280" s="15"/>
      <c r="AG280" s="101"/>
      <c r="AH280" s="14"/>
      <c r="AI280" s="15">
        <v>6.0830000000000002</v>
      </c>
      <c r="AJ280" s="15">
        <v>10.098000000000001</v>
      </c>
      <c r="AK280" s="126">
        <v>7.6999999999999999E-2</v>
      </c>
    </row>
    <row r="281" spans="1:40" s="209" customFormat="1" x14ac:dyDescent="0.35">
      <c r="A281" s="154"/>
      <c r="B281" s="155">
        <v>295</v>
      </c>
      <c r="C281" s="156" t="s">
        <v>188</v>
      </c>
      <c r="D281" s="155" t="s">
        <v>124</v>
      </c>
      <c r="E281" s="155"/>
      <c r="F281" s="155">
        <v>1028</v>
      </c>
      <c r="G281" s="155">
        <v>1</v>
      </c>
      <c r="H281" s="155">
        <v>145</v>
      </c>
      <c r="I281" s="155">
        <v>1</v>
      </c>
      <c r="J281" s="155">
        <v>5000</v>
      </c>
      <c r="K281" s="155">
        <v>65</v>
      </c>
      <c r="L281" s="155">
        <v>1</v>
      </c>
      <c r="M281" s="155">
        <f>(158+181.5+152+180.5)-(143.5+166.5+132+159.5)</f>
        <v>70.5</v>
      </c>
      <c r="N281" s="155"/>
      <c r="O281" s="155"/>
      <c r="P281" s="155"/>
      <c r="Q281" s="155"/>
      <c r="R281" s="155">
        <f t="shared" si="184"/>
        <v>0.32200903676112258</v>
      </c>
      <c r="S281" s="155">
        <f t="shared" si="185"/>
        <v>20.51717840777965</v>
      </c>
      <c r="T281" s="155">
        <f t="shared" si="186"/>
        <v>34.547307760158375</v>
      </c>
      <c r="U281" s="157">
        <f t="shared" si="177"/>
        <v>0.95760400246727428</v>
      </c>
      <c r="V281" s="157">
        <f t="shared" si="178"/>
        <v>1</v>
      </c>
      <c r="W281" s="157">
        <f t="shared" si="179"/>
        <v>0.90294117647058825</v>
      </c>
      <c r="X281" s="155">
        <v>1500.5</v>
      </c>
      <c r="Y281" s="155">
        <v>1160</v>
      </c>
      <c r="Z281" s="155">
        <f t="shared" si="183"/>
        <v>0.22692435854715098</v>
      </c>
      <c r="AA281" s="159"/>
      <c r="AB281" s="155">
        <v>0.61860000000000004</v>
      </c>
      <c r="AC281" s="155">
        <v>0</v>
      </c>
      <c r="AD281" s="160">
        <v>1.32E-2</v>
      </c>
      <c r="AE281" s="159"/>
      <c r="AF281" s="155"/>
      <c r="AG281" s="160"/>
      <c r="AH281" s="159"/>
      <c r="AI281" s="155">
        <v>14.590999999999999</v>
      </c>
      <c r="AJ281" s="155">
        <v>0.22900000000000001</v>
      </c>
      <c r="AK281" s="160">
        <v>0.13600000000000001</v>
      </c>
      <c r="AL281" s="216"/>
      <c r="AN281" s="210"/>
    </row>
    <row r="282" spans="1:40" x14ac:dyDescent="0.35">
      <c r="A282" s="161"/>
      <c r="B282" s="17">
        <v>297</v>
      </c>
      <c r="C282" s="38" t="s">
        <v>189</v>
      </c>
      <c r="D282" s="17" t="s">
        <v>124</v>
      </c>
      <c r="E282" s="17"/>
      <c r="F282" s="17">
        <v>1028</v>
      </c>
      <c r="G282" s="17">
        <v>3</v>
      </c>
      <c r="H282" s="17">
        <v>155</v>
      </c>
      <c r="I282" s="17">
        <v>1</v>
      </c>
      <c r="J282" s="17">
        <v>5000</v>
      </c>
      <c r="K282" s="17">
        <v>65</v>
      </c>
      <c r="L282" s="17">
        <v>1</v>
      </c>
      <c r="M282" s="17">
        <f>(163+160.5+181+167)-(142.5+132+168+154)</f>
        <v>75</v>
      </c>
      <c r="N282" s="17"/>
      <c r="O282" s="17"/>
      <c r="P282" s="17"/>
      <c r="Q282" s="17"/>
      <c r="R282" s="17">
        <f t="shared" si="184"/>
        <v>0.31342407865857841</v>
      </c>
      <c r="S282" s="17">
        <f t="shared" si="185"/>
        <v>19.970177867717542</v>
      </c>
      <c r="T282" s="17">
        <f t="shared" si="186"/>
        <v>33.626255380200853</v>
      </c>
      <c r="U282" s="91">
        <f t="shared" si="177"/>
        <v>0.98974710437941205</v>
      </c>
      <c r="V282" s="91">
        <f t="shared" si="178"/>
        <v>1</v>
      </c>
      <c r="W282" s="91">
        <f t="shared" si="179"/>
        <v>0.95</v>
      </c>
      <c r="X282" s="17">
        <v>1640</v>
      </c>
      <c r="Y282" s="17">
        <v>1372</v>
      </c>
      <c r="Z282" s="17">
        <f t="shared" si="183"/>
        <v>0.1634146341463415</v>
      </c>
      <c r="AA282" s="16"/>
      <c r="AB282" s="17">
        <v>0.14960000000000001</v>
      </c>
      <c r="AC282" s="17">
        <v>0</v>
      </c>
      <c r="AD282" s="21">
        <v>6.7999999999999996E-3</v>
      </c>
      <c r="AE282" s="16"/>
      <c r="AF282" s="17"/>
      <c r="AG282" s="21"/>
      <c r="AH282" s="16"/>
      <c r="AI282" s="17">
        <v>14.590999999999999</v>
      </c>
      <c r="AJ282" s="17">
        <v>0.22900000000000001</v>
      </c>
      <c r="AK282" s="21">
        <v>0.13600000000000001</v>
      </c>
    </row>
    <row r="283" spans="1:40" x14ac:dyDescent="0.35">
      <c r="A283" s="161"/>
      <c r="B283" s="17">
        <v>298</v>
      </c>
      <c r="C283" s="38" t="s">
        <v>189</v>
      </c>
      <c r="D283" s="17" t="s">
        <v>124</v>
      </c>
      <c r="E283" s="17"/>
      <c r="F283" s="17">
        <v>1028</v>
      </c>
      <c r="G283" s="17">
        <v>4</v>
      </c>
      <c r="H283" s="17">
        <v>140</v>
      </c>
      <c r="I283" s="17">
        <v>2</v>
      </c>
      <c r="J283" s="17">
        <v>5000</v>
      </c>
      <c r="K283" s="17">
        <v>65</v>
      </c>
      <c r="L283" s="17">
        <v>1</v>
      </c>
      <c r="M283" s="17">
        <f>(152.5+152.5+168+154)-(138.5+133+151+139)</f>
        <v>65.5</v>
      </c>
      <c r="N283" s="17"/>
      <c r="O283" s="17"/>
      <c r="P283" s="17"/>
      <c r="Q283" s="17"/>
      <c r="R283" s="17">
        <f t="shared" si="184"/>
        <v>0.29417225451729573</v>
      </c>
      <c r="S283" s="17">
        <f t="shared" si="185"/>
        <v>18.743525614243936</v>
      </c>
      <c r="T283" s="17">
        <f t="shared" si="186"/>
        <v>31.560789453396033</v>
      </c>
      <c r="U283" s="91">
        <f t="shared" si="177"/>
        <v>0.87108491535878274</v>
      </c>
      <c r="V283" s="91">
        <f t="shared" si="178"/>
        <v>1</v>
      </c>
      <c r="W283" s="91">
        <f t="shared" si="179"/>
        <v>0.48161764705882359</v>
      </c>
      <c r="X283" s="17">
        <v>1526</v>
      </c>
      <c r="Y283" s="17">
        <v>1269.5</v>
      </c>
      <c r="Z283" s="17">
        <f t="shared" si="183"/>
        <v>0.16808650065530795</v>
      </c>
      <c r="AA283" s="16"/>
      <c r="AB283" s="17">
        <v>1.881</v>
      </c>
      <c r="AC283" s="17">
        <v>0</v>
      </c>
      <c r="AD283" s="21">
        <v>7.0499999999999993E-2</v>
      </c>
      <c r="AE283" s="16"/>
      <c r="AF283" s="17"/>
      <c r="AG283" s="21"/>
      <c r="AH283" s="16"/>
      <c r="AI283" s="17">
        <v>14.590999999999999</v>
      </c>
      <c r="AJ283" s="17">
        <v>0.22900000000000001</v>
      </c>
      <c r="AK283" s="21">
        <v>0.13600000000000001</v>
      </c>
    </row>
    <row r="284" spans="1:40" x14ac:dyDescent="0.35">
      <c r="A284" s="161"/>
      <c r="B284" s="17">
        <v>299</v>
      </c>
      <c r="C284" s="38" t="s">
        <v>189</v>
      </c>
      <c r="D284" s="17" t="s">
        <v>124</v>
      </c>
      <c r="E284" s="17"/>
      <c r="F284" s="17">
        <v>1028</v>
      </c>
      <c r="G284" s="17">
        <v>5</v>
      </c>
      <c r="H284" s="17">
        <v>150</v>
      </c>
      <c r="I284" s="17">
        <v>1</v>
      </c>
      <c r="J284" s="17">
        <v>5000</v>
      </c>
      <c r="K284" s="17">
        <v>65</v>
      </c>
      <c r="L284" s="17">
        <v>1</v>
      </c>
      <c r="M284" s="17">
        <f>(155.5+162.5+167.5+179.5)-(138+145+153+159)</f>
        <v>70</v>
      </c>
      <c r="N284" s="17"/>
      <c r="O284" s="17"/>
      <c r="P284" s="17"/>
      <c r="Q284" s="17"/>
      <c r="R284" s="17">
        <f t="shared" si="184"/>
        <v>0.34255465171966964</v>
      </c>
      <c r="S284" s="17">
        <f t="shared" si="185"/>
        <v>21.826266040356767</v>
      </c>
      <c r="T284" s="17">
        <f t="shared" si="186"/>
        <v>36.751580317953668</v>
      </c>
      <c r="U284" s="91">
        <f t="shared" ref="U284:U336" si="187">IF(AB284&lt;&gt;"",(AI284-AB284)/AI284,"-")</f>
        <v>0.96249742992255494</v>
      </c>
      <c r="V284" s="91">
        <f t="shared" ref="V284:V336" si="188">IF(AC284&lt;&gt;"",(AJ284-AC284)/AJ284,"-")</f>
        <v>1</v>
      </c>
      <c r="W284" s="91">
        <f t="shared" ref="W284:W347" si="189">IF(AD284&lt;&gt;"",(AK284-AD284)/AK284,"-")</f>
        <v>1</v>
      </c>
      <c r="X284" s="17">
        <v>1400.5</v>
      </c>
      <c r="Y284" s="17">
        <v>1152.5</v>
      </c>
      <c r="Z284" s="17">
        <f t="shared" si="183"/>
        <v>0.17707961442342024</v>
      </c>
      <c r="AA284" s="16"/>
      <c r="AB284" s="17">
        <v>0.54720000000000002</v>
      </c>
      <c r="AC284" s="17">
        <v>0</v>
      </c>
      <c r="AD284" s="21">
        <v>0</v>
      </c>
      <c r="AE284" s="16"/>
      <c r="AF284" s="17"/>
      <c r="AG284" s="21"/>
      <c r="AH284" s="16"/>
      <c r="AI284" s="17">
        <v>14.590999999999999</v>
      </c>
      <c r="AJ284" s="17">
        <v>0.22900000000000001</v>
      </c>
      <c r="AK284" s="21">
        <v>0.13600000000000001</v>
      </c>
    </row>
    <row r="285" spans="1:40" x14ac:dyDescent="0.35">
      <c r="A285" s="161"/>
      <c r="B285" s="17">
        <v>300</v>
      </c>
      <c r="C285" s="38" t="s">
        <v>190</v>
      </c>
      <c r="D285" s="17" t="s">
        <v>124</v>
      </c>
      <c r="E285" s="17"/>
      <c r="F285" s="17">
        <v>1028</v>
      </c>
      <c r="G285" s="17">
        <v>6</v>
      </c>
      <c r="H285" s="17">
        <v>150</v>
      </c>
      <c r="I285" s="17">
        <v>2</v>
      </c>
      <c r="J285" s="17">
        <v>5000</v>
      </c>
      <c r="K285" s="17">
        <v>65</v>
      </c>
      <c r="L285" s="17">
        <v>1</v>
      </c>
      <c r="M285" s="17">
        <f>(138+145+165+171)-(132.5+139+135.5+142)</f>
        <v>70</v>
      </c>
      <c r="N285" s="17"/>
      <c r="O285" s="17"/>
      <c r="P285" s="17"/>
      <c r="Q285" s="17"/>
      <c r="R285" s="17">
        <f t="shared" si="184"/>
        <v>0.32915800324761396</v>
      </c>
      <c r="S285" s="17">
        <f t="shared" si="185"/>
        <v>20.972683080287926</v>
      </c>
      <c r="T285" s="17">
        <f t="shared" si="186"/>
        <v>35.314297245484809</v>
      </c>
      <c r="U285" s="91">
        <f t="shared" si="187"/>
        <v>0.91464601466657525</v>
      </c>
      <c r="V285" s="91">
        <f t="shared" si="188"/>
        <v>1</v>
      </c>
      <c r="W285" s="91">
        <f t="shared" si="189"/>
        <v>0.71323529411764708</v>
      </c>
      <c r="X285" s="17">
        <v>1457.5</v>
      </c>
      <c r="Y285" s="17">
        <v>1177.5</v>
      </c>
      <c r="Z285" s="17">
        <f t="shared" si="183"/>
        <v>0.19210977701543741</v>
      </c>
      <c r="AA285" s="16"/>
      <c r="AB285" s="17">
        <v>1.2454000000000001</v>
      </c>
      <c r="AC285" s="17">
        <v>0</v>
      </c>
      <c r="AD285" s="21">
        <v>3.9E-2</v>
      </c>
      <c r="AE285" s="16"/>
      <c r="AF285" s="17"/>
      <c r="AG285" s="21"/>
      <c r="AH285" s="16"/>
      <c r="AI285" s="17">
        <v>14.590999999999999</v>
      </c>
      <c r="AJ285" s="17">
        <v>0.22900000000000001</v>
      </c>
      <c r="AK285" s="21">
        <v>0.13600000000000001</v>
      </c>
    </row>
    <row r="286" spans="1:40" x14ac:dyDescent="0.35">
      <c r="A286" s="161"/>
      <c r="B286" s="17">
        <v>301</v>
      </c>
      <c r="C286" s="38" t="s">
        <v>190</v>
      </c>
      <c r="D286" s="17" t="s">
        <v>124</v>
      </c>
      <c r="E286" s="17"/>
      <c r="F286" s="17">
        <v>1028</v>
      </c>
      <c r="G286" s="17">
        <v>7</v>
      </c>
      <c r="H286" s="17">
        <v>145</v>
      </c>
      <c r="I286" s="17">
        <v>1</v>
      </c>
      <c r="J286" s="17">
        <v>5000</v>
      </c>
      <c r="K286" s="17">
        <v>65</v>
      </c>
      <c r="L286" s="17">
        <v>1</v>
      </c>
      <c r="M286" s="17">
        <f>(156.5+167.5+178+150.5)-(126.5+137.5+172.5+146)</f>
        <v>70</v>
      </c>
      <c r="N286" s="17"/>
      <c r="O286" s="17"/>
      <c r="P286" s="17"/>
      <c r="Q286" s="17"/>
      <c r="R286" s="17">
        <f t="shared" si="184"/>
        <v>0.34036735702972498</v>
      </c>
      <c r="S286" s="17">
        <f t="shared" si="185"/>
        <v>21.686900028038064</v>
      </c>
      <c r="T286" s="17">
        <f t="shared" si="186"/>
        <v>36.516912547211149</v>
      </c>
      <c r="U286" s="91">
        <f t="shared" si="187"/>
        <v>0.93997669796449868</v>
      </c>
      <c r="V286" s="91">
        <f t="shared" si="188"/>
        <v>1</v>
      </c>
      <c r="W286" s="91">
        <f t="shared" si="189"/>
        <v>0.86764705882352944</v>
      </c>
      <c r="X286" s="17">
        <v>1409.5</v>
      </c>
      <c r="Y286" s="17">
        <v>1215.5</v>
      </c>
      <c r="Z286" s="17">
        <f t="shared" si="183"/>
        <v>0.13763746009223132</v>
      </c>
      <c r="AA286" s="16"/>
      <c r="AB286" s="17">
        <v>0.87580000000000002</v>
      </c>
      <c r="AC286" s="17">
        <v>0</v>
      </c>
      <c r="AD286" s="21">
        <v>1.7999999999999999E-2</v>
      </c>
      <c r="AE286" s="16"/>
      <c r="AF286" s="17"/>
      <c r="AG286" s="21"/>
      <c r="AH286" s="16"/>
      <c r="AI286" s="17">
        <v>14.590999999999999</v>
      </c>
      <c r="AJ286" s="17">
        <v>0.22900000000000001</v>
      </c>
      <c r="AK286" s="21">
        <v>0.13600000000000001</v>
      </c>
    </row>
    <row r="287" spans="1:40" x14ac:dyDescent="0.35">
      <c r="A287" s="161"/>
      <c r="B287" s="17">
        <v>302</v>
      </c>
      <c r="C287" s="38" t="s">
        <v>190</v>
      </c>
      <c r="D287" s="17" t="s">
        <v>124</v>
      </c>
      <c r="E287" s="17"/>
      <c r="F287" s="17">
        <v>1028</v>
      </c>
      <c r="G287" s="17">
        <v>8</v>
      </c>
      <c r="H287" s="17">
        <v>145</v>
      </c>
      <c r="I287" s="17">
        <v>2</v>
      </c>
      <c r="J287" s="17">
        <v>5000</v>
      </c>
      <c r="K287" s="17">
        <v>65</v>
      </c>
      <c r="L287" s="17">
        <v>1</v>
      </c>
      <c r="M287" s="17">
        <f>(154+176.5+172.5+146)-(146.5+160+148+124.5)</f>
        <v>70</v>
      </c>
      <c r="N287" s="17"/>
      <c r="O287" s="17"/>
      <c r="P287" s="17"/>
      <c r="Q287" s="17"/>
      <c r="R287" s="17">
        <f t="shared" si="184"/>
        <v>0.33690153773412734</v>
      </c>
      <c r="S287" s="17">
        <f t="shared" si="185"/>
        <v>21.466071340954812</v>
      </c>
      <c r="T287" s="17">
        <f t="shared" si="186"/>
        <v>36.145076007931259</v>
      </c>
      <c r="U287" s="91">
        <f t="shared" si="187"/>
        <v>0.95321773696114043</v>
      </c>
      <c r="V287" s="91">
        <f t="shared" si="188"/>
        <v>1</v>
      </c>
      <c r="W287" s="91">
        <f t="shared" si="189"/>
        <v>0.85955882352941171</v>
      </c>
      <c r="X287" s="17">
        <v>1424</v>
      </c>
      <c r="Y287" s="17">
        <v>1247</v>
      </c>
      <c r="Z287" s="17">
        <f t="shared" si="183"/>
        <v>0.1242977528089888</v>
      </c>
      <c r="AA287" s="16"/>
      <c r="AB287" s="17">
        <v>0.68259999999999998</v>
      </c>
      <c r="AC287" s="17">
        <v>0</v>
      </c>
      <c r="AD287" s="21">
        <v>1.9099999999999999E-2</v>
      </c>
      <c r="AE287" s="16"/>
      <c r="AF287" s="17"/>
      <c r="AG287" s="21"/>
      <c r="AH287" s="16"/>
      <c r="AI287" s="17">
        <v>14.590999999999999</v>
      </c>
      <c r="AJ287" s="17">
        <v>0.22900000000000001</v>
      </c>
      <c r="AK287" s="21">
        <v>0.13600000000000001</v>
      </c>
    </row>
    <row r="288" spans="1:40" x14ac:dyDescent="0.35">
      <c r="A288" s="161"/>
      <c r="B288" s="17">
        <v>303</v>
      </c>
      <c r="C288" s="38" t="s">
        <v>190</v>
      </c>
      <c r="D288" s="17" t="s">
        <v>124</v>
      </c>
      <c r="E288" s="17"/>
      <c r="F288" s="17">
        <v>1028</v>
      </c>
      <c r="G288" s="17">
        <v>9</v>
      </c>
      <c r="H288" s="17">
        <v>150</v>
      </c>
      <c r="I288" s="17">
        <v>1</v>
      </c>
      <c r="J288" s="17">
        <v>5000</v>
      </c>
      <c r="K288" s="17">
        <v>65</v>
      </c>
      <c r="L288" s="17">
        <v>1</v>
      </c>
      <c r="M288" s="17">
        <f>(146.5+160+171.5+171)-(132+146.5+150+150.5)</f>
        <v>70</v>
      </c>
      <c r="N288" s="17"/>
      <c r="O288" s="17"/>
      <c r="P288" s="17"/>
      <c r="Q288" s="17"/>
      <c r="R288" s="17">
        <f t="shared" si="184"/>
        <v>0.3272495155070923</v>
      </c>
      <c r="S288" s="17">
        <f t="shared" si="185"/>
        <v>20.851081575388577</v>
      </c>
      <c r="T288" s="17">
        <f t="shared" si="186"/>
        <v>35.109541770323403</v>
      </c>
      <c r="U288" s="91">
        <f t="shared" si="187"/>
        <v>0.99410595572613247</v>
      </c>
      <c r="V288" s="91">
        <f t="shared" si="188"/>
        <v>1</v>
      </c>
      <c r="W288" s="91">
        <f t="shared" si="189"/>
        <v>0.76470588235294124</v>
      </c>
      <c r="X288" s="17">
        <v>1466</v>
      </c>
      <c r="Y288" s="17">
        <v>1206</v>
      </c>
      <c r="Z288" s="17">
        <f t="shared" si="183"/>
        <v>0.17735334242837653</v>
      </c>
      <c r="AA288" s="16"/>
      <c r="AB288" s="17">
        <v>8.5999999999999993E-2</v>
      </c>
      <c r="AC288" s="17">
        <v>0</v>
      </c>
      <c r="AD288" s="21">
        <v>3.2000000000000001E-2</v>
      </c>
      <c r="AE288" s="16"/>
      <c r="AF288" s="17"/>
      <c r="AG288" s="21"/>
      <c r="AH288" s="16"/>
      <c r="AI288" s="17">
        <v>14.590999999999999</v>
      </c>
      <c r="AJ288" s="17">
        <v>0.22900000000000001</v>
      </c>
      <c r="AK288" s="21">
        <v>0.13600000000000001</v>
      </c>
    </row>
    <row r="289" spans="1:40" x14ac:dyDescent="0.35">
      <c r="A289" s="161"/>
      <c r="B289" s="17">
        <v>304</v>
      </c>
      <c r="C289" s="38" t="s">
        <v>190</v>
      </c>
      <c r="D289" s="17" t="s">
        <v>124</v>
      </c>
      <c r="E289" s="17"/>
      <c r="F289" s="17">
        <v>1028</v>
      </c>
      <c r="G289" s="17">
        <v>10</v>
      </c>
      <c r="H289" s="17">
        <v>150</v>
      </c>
      <c r="I289" s="17">
        <v>2</v>
      </c>
      <c r="J289" s="17">
        <v>5000</v>
      </c>
      <c r="K289" s="17">
        <v>65</v>
      </c>
      <c r="L289" s="17">
        <v>1</v>
      </c>
      <c r="M289" s="17">
        <f>(169+176.5+170.5+188)-(169+176.5+135.5+153)</f>
        <v>70</v>
      </c>
      <c r="N289" s="17"/>
      <c r="O289" s="17"/>
      <c r="P289" s="17"/>
      <c r="Q289" s="17"/>
      <c r="R289" s="17">
        <f t="shared" si="184"/>
        <v>0.36538293201325006</v>
      </c>
      <c r="S289" s="17">
        <f t="shared" si="185"/>
        <v>23.280796336267823</v>
      </c>
      <c r="T289" s="17">
        <f t="shared" si="186"/>
        <v>39.200752654450959</v>
      </c>
      <c r="U289" s="91">
        <f t="shared" si="187"/>
        <v>0.99719004866013294</v>
      </c>
      <c r="V289" s="91">
        <f t="shared" si="188"/>
        <v>1</v>
      </c>
      <c r="W289" s="91">
        <f t="shared" si="189"/>
        <v>0.53676470588235292</v>
      </c>
      <c r="X289" s="17">
        <v>1313</v>
      </c>
      <c r="Y289" s="17">
        <v>1096</v>
      </c>
      <c r="Z289" s="17">
        <f t="shared" si="183"/>
        <v>0.16527037319116522</v>
      </c>
      <c r="AA289" s="16"/>
      <c r="AB289" s="17">
        <v>4.1000000000000002E-2</v>
      </c>
      <c r="AC289" s="17">
        <v>0</v>
      </c>
      <c r="AD289" s="21">
        <v>6.3E-2</v>
      </c>
      <c r="AE289" s="16"/>
      <c r="AF289" s="17"/>
      <c r="AG289" s="21"/>
      <c r="AH289" s="16"/>
      <c r="AI289" s="17">
        <v>14.590999999999999</v>
      </c>
      <c r="AJ289" s="17">
        <v>0.22900000000000001</v>
      </c>
      <c r="AK289" s="21">
        <v>0.13600000000000001</v>
      </c>
    </row>
    <row r="290" spans="1:40" s="213" customFormat="1" ht="15" thickBot="1" x14ac:dyDescent="0.4">
      <c r="A290" s="162"/>
      <c r="B290" s="163">
        <v>305</v>
      </c>
      <c r="C290" s="164" t="s">
        <v>191</v>
      </c>
      <c r="D290" s="163" t="s">
        <v>124</v>
      </c>
      <c r="E290" s="163"/>
      <c r="F290" s="163">
        <v>1028</v>
      </c>
      <c r="G290" s="163">
        <v>11</v>
      </c>
      <c r="H290" s="163">
        <v>145</v>
      </c>
      <c r="I290" s="163">
        <v>1</v>
      </c>
      <c r="J290" s="163">
        <v>5000</v>
      </c>
      <c r="K290" s="163">
        <v>65</v>
      </c>
      <c r="L290" s="163">
        <v>1</v>
      </c>
      <c r="M290" s="163">
        <f>(169+176.5)-(137.5+143)</f>
        <v>65</v>
      </c>
      <c r="N290" s="163"/>
      <c r="O290" s="163"/>
      <c r="P290" s="163"/>
      <c r="Q290" s="163"/>
      <c r="R290" s="163">
        <f t="shared" si="184"/>
        <v>0.35090987827233255</v>
      </c>
      <c r="S290" s="163">
        <f t="shared" si="185"/>
        <v>22.358628968871628</v>
      </c>
      <c r="T290" s="163">
        <f t="shared" si="186"/>
        <v>37.647985543173547</v>
      </c>
      <c r="U290" s="165" t="str">
        <f t="shared" si="187"/>
        <v>-</v>
      </c>
      <c r="V290" s="165">
        <f t="shared" si="188"/>
        <v>1</v>
      </c>
      <c r="W290" s="165" t="str">
        <f t="shared" si="189"/>
        <v>-</v>
      </c>
      <c r="X290" s="163">
        <v>1269.5</v>
      </c>
      <c r="Y290" s="163">
        <v>1002</v>
      </c>
      <c r="Z290" s="163">
        <f t="shared" si="183"/>
        <v>0.21071287908625447</v>
      </c>
      <c r="AA290" s="167"/>
      <c r="AB290" s="163"/>
      <c r="AC290" s="163">
        <v>0</v>
      </c>
      <c r="AD290" s="168"/>
      <c r="AE290" s="167"/>
      <c r="AF290" s="163"/>
      <c r="AG290" s="168"/>
      <c r="AH290" s="167"/>
      <c r="AI290" s="163">
        <v>14.590999999999999</v>
      </c>
      <c r="AJ290" s="163">
        <v>0.22900000000000001</v>
      </c>
      <c r="AK290" s="168">
        <v>0.13600000000000001</v>
      </c>
      <c r="AL290" s="215"/>
      <c r="AN290" s="214"/>
    </row>
    <row r="291" spans="1:40" s="209" customFormat="1" x14ac:dyDescent="0.35">
      <c r="A291" s="208"/>
      <c r="B291" s="155">
        <v>309</v>
      </c>
      <c r="C291" s="156" t="s">
        <v>192</v>
      </c>
      <c r="D291" s="155" t="s">
        <v>124</v>
      </c>
      <c r="E291" s="155"/>
      <c r="F291" s="155">
        <v>1029</v>
      </c>
      <c r="G291" s="155">
        <v>4</v>
      </c>
      <c r="H291" s="155">
        <v>160</v>
      </c>
      <c r="I291" s="155">
        <v>2</v>
      </c>
      <c r="J291" s="155">
        <v>5000</v>
      </c>
      <c r="K291" s="155">
        <v>65</v>
      </c>
      <c r="L291" s="155">
        <v>1</v>
      </c>
      <c r="M291" s="155">
        <f>(153.5+176+143.5+169.5)-(123+142.5+135.5+161.5)</f>
        <v>80</v>
      </c>
      <c r="N291" s="155"/>
      <c r="O291" s="155"/>
      <c r="P291" s="155"/>
      <c r="Q291" s="155"/>
      <c r="R291" s="155">
        <f t="shared" si="184"/>
        <v>0.36003671654435321</v>
      </c>
      <c r="S291" s="155">
        <f t="shared" si="185"/>
        <v>157.41833923652104</v>
      </c>
      <c r="T291" s="155">
        <f t="shared" si="186"/>
        <v>34.651835680995198</v>
      </c>
      <c r="U291" s="157">
        <f t="shared" si="187"/>
        <v>0.97706332091746717</v>
      </c>
      <c r="V291" s="157">
        <f t="shared" si="188"/>
        <v>1</v>
      </c>
      <c r="W291" s="157">
        <f t="shared" si="189"/>
        <v>0.93710691823899361</v>
      </c>
      <c r="X291" s="155">
        <v>1452</v>
      </c>
      <c r="Y291" s="155">
        <v>1131</v>
      </c>
      <c r="Z291" s="155">
        <f t="shared" si="183"/>
        <v>0.22107438016528924</v>
      </c>
      <c r="AA291" s="159"/>
      <c r="AB291" s="155">
        <v>0.35099999999999998</v>
      </c>
      <c r="AC291" s="155">
        <v>0</v>
      </c>
      <c r="AD291" s="222">
        <v>0.01</v>
      </c>
      <c r="AE291" s="159"/>
      <c r="AF291" s="155"/>
      <c r="AG291" s="160"/>
      <c r="AH291" s="159"/>
      <c r="AI291" s="155">
        <v>15.303000000000001</v>
      </c>
      <c r="AJ291" s="155">
        <v>3.5000000000000003E-2</v>
      </c>
      <c r="AK291" s="160">
        <v>0.159</v>
      </c>
      <c r="AL291" s="216"/>
      <c r="AN291" s="210"/>
    </row>
    <row r="292" spans="1:40" x14ac:dyDescent="0.35">
      <c r="A292" s="211"/>
      <c r="B292" s="17">
        <v>310</v>
      </c>
      <c r="C292" s="38" t="s">
        <v>193</v>
      </c>
      <c r="D292" s="17" t="s">
        <v>124</v>
      </c>
      <c r="E292" s="17"/>
      <c r="F292" s="17">
        <v>1029</v>
      </c>
      <c r="G292" s="17">
        <v>5</v>
      </c>
      <c r="H292" s="17">
        <v>160</v>
      </c>
      <c r="I292" s="17">
        <v>1</v>
      </c>
      <c r="J292" s="17">
        <v>5000</v>
      </c>
      <c r="K292" s="17">
        <v>65</v>
      </c>
      <c r="L292" s="17">
        <v>1</v>
      </c>
      <c r="M292" s="17">
        <f>(156+176.5+158+179+165)-(143.5+173.5+137.5+145.5+154.5)</f>
        <v>80</v>
      </c>
      <c r="N292" s="17"/>
      <c r="O292" s="17"/>
      <c r="P292" s="17"/>
      <c r="Q292" s="17"/>
      <c r="R292" s="17">
        <f t="shared" si="184"/>
        <v>0.35038425765576464</v>
      </c>
      <c r="S292" s="17">
        <f t="shared" si="185"/>
        <v>153.19800842589044</v>
      </c>
      <c r="T292" s="17">
        <f t="shared" si="186"/>
        <v>33.722832043435005</v>
      </c>
      <c r="U292" s="91">
        <f t="shared" si="187"/>
        <v>0.91700973665294394</v>
      </c>
      <c r="V292" s="91">
        <f t="shared" si="188"/>
        <v>1</v>
      </c>
      <c r="W292" s="91">
        <f t="shared" si="189"/>
        <v>0.83018867924528306</v>
      </c>
      <c r="X292" s="17">
        <v>1492</v>
      </c>
      <c r="Y292" s="17">
        <v>1202</v>
      </c>
      <c r="Z292" s="17">
        <f t="shared" si="183"/>
        <v>0.19436997319034854</v>
      </c>
      <c r="AA292" s="16"/>
      <c r="AB292" s="17">
        <v>1.27</v>
      </c>
      <c r="AC292" s="17">
        <v>0</v>
      </c>
      <c r="AD292" s="21">
        <v>2.7E-2</v>
      </c>
      <c r="AE292" s="16"/>
      <c r="AF292" s="17"/>
      <c r="AG292" s="21"/>
      <c r="AH292" s="16"/>
      <c r="AI292" s="17">
        <v>15.303000000000001</v>
      </c>
      <c r="AJ292" s="17">
        <v>3.5000000000000003E-2</v>
      </c>
      <c r="AK292" s="21">
        <v>0.159</v>
      </c>
    </row>
    <row r="293" spans="1:40" x14ac:dyDescent="0.35">
      <c r="A293" s="211"/>
      <c r="B293" s="17">
        <v>311</v>
      </c>
      <c r="C293" s="38" t="s">
        <v>193</v>
      </c>
      <c r="D293" s="17" t="s">
        <v>124</v>
      </c>
      <c r="E293" s="17"/>
      <c r="F293" s="17">
        <v>1029</v>
      </c>
      <c r="G293" s="17">
        <v>6</v>
      </c>
      <c r="H293" s="17">
        <v>160</v>
      </c>
      <c r="I293" s="17">
        <v>2</v>
      </c>
      <c r="J293" s="17">
        <v>5000</v>
      </c>
      <c r="K293" s="17">
        <v>65</v>
      </c>
      <c r="L293" s="17">
        <v>1</v>
      </c>
      <c r="M293" s="17">
        <f>(143.5+173.5+164+155.5+158+179)-(126+169+164+135+140.5+159)</f>
        <v>80</v>
      </c>
      <c r="N293" s="17"/>
      <c r="O293" s="17"/>
      <c r="P293" s="17"/>
      <c r="Q293" s="17"/>
      <c r="R293" s="17">
        <f t="shared" si="184"/>
        <v>0.36595961667651444</v>
      </c>
      <c r="S293" s="17">
        <f t="shared" si="185"/>
        <v>160.00800040001999</v>
      </c>
      <c r="T293" s="17">
        <f t="shared" si="186"/>
        <v>35.221886880507547</v>
      </c>
      <c r="U293" s="91">
        <f t="shared" si="187"/>
        <v>0.95157812193687519</v>
      </c>
      <c r="V293" s="91">
        <f t="shared" si="188"/>
        <v>1</v>
      </c>
      <c r="W293" s="91">
        <f t="shared" si="189"/>
        <v>0.86792452830188682</v>
      </c>
      <c r="X293" s="17">
        <v>1428.5</v>
      </c>
      <c r="Y293" s="17">
        <v>1166.5</v>
      </c>
      <c r="Z293" s="17">
        <f t="shared" si="183"/>
        <v>0.1834091704585229</v>
      </c>
      <c r="AA293" s="16"/>
      <c r="AB293" s="17">
        <v>0.74099999999999999</v>
      </c>
      <c r="AC293" s="17">
        <v>0</v>
      </c>
      <c r="AD293" s="21">
        <v>2.1000000000000001E-2</v>
      </c>
      <c r="AE293" s="16"/>
      <c r="AF293" s="17"/>
      <c r="AG293" s="21"/>
      <c r="AH293" s="16"/>
      <c r="AI293" s="17">
        <v>15.303000000000001</v>
      </c>
      <c r="AJ293" s="17">
        <v>3.5000000000000003E-2</v>
      </c>
      <c r="AK293" s="21">
        <v>0.159</v>
      </c>
    </row>
    <row r="294" spans="1:40" s="213" customFormat="1" ht="15" thickBot="1" x14ac:dyDescent="0.4">
      <c r="A294" s="212"/>
      <c r="B294" s="163">
        <v>312</v>
      </c>
      <c r="C294" s="164" t="s">
        <v>194</v>
      </c>
      <c r="D294" s="163" t="s">
        <v>124</v>
      </c>
      <c r="E294" s="163"/>
      <c r="F294" s="163">
        <v>1029</v>
      </c>
      <c r="G294" s="163">
        <v>7</v>
      </c>
      <c r="H294" s="163">
        <v>160</v>
      </c>
      <c r="I294" s="163">
        <v>1</v>
      </c>
      <c r="J294" s="163">
        <v>5000</v>
      </c>
      <c r="K294" s="163">
        <v>65</v>
      </c>
      <c r="L294" s="163">
        <v>1</v>
      </c>
      <c r="M294" s="163">
        <f>(133+151+174+188+158+166.5)-(130+148.5+143.5+156.5+150+162)</f>
        <v>80</v>
      </c>
      <c r="N294" s="163"/>
      <c r="O294" s="163"/>
      <c r="P294" s="163"/>
      <c r="Q294" s="163"/>
      <c r="R294" s="163">
        <f t="shared" si="184"/>
        <v>0.39350644518058026</v>
      </c>
      <c r="S294" s="163">
        <f t="shared" si="185"/>
        <v>172.05226087424052</v>
      </c>
      <c r="T294" s="163">
        <f t="shared" si="186"/>
        <v>37.87313918615358</v>
      </c>
      <c r="U294" s="165">
        <f t="shared" si="187"/>
        <v>0.97026726785597595</v>
      </c>
      <c r="V294" s="165">
        <f t="shared" si="188"/>
        <v>1</v>
      </c>
      <c r="W294" s="165">
        <f t="shared" si="189"/>
        <v>0.91823899371069173</v>
      </c>
      <c r="X294" s="163">
        <v>1328.5</v>
      </c>
      <c r="Y294" s="163">
        <v>1066</v>
      </c>
      <c r="Z294" s="163">
        <f t="shared" si="183"/>
        <v>0.19759126834776064</v>
      </c>
      <c r="AA294" s="167"/>
      <c r="AB294" s="163">
        <v>0.45500000000000002</v>
      </c>
      <c r="AC294" s="163">
        <v>0</v>
      </c>
      <c r="AD294" s="168">
        <v>1.2999999999999999E-2</v>
      </c>
      <c r="AE294" s="167"/>
      <c r="AF294" s="163"/>
      <c r="AG294" s="168"/>
      <c r="AH294" s="167"/>
      <c r="AI294" s="163">
        <v>15.303000000000001</v>
      </c>
      <c r="AJ294" s="163">
        <v>3.5000000000000003E-2</v>
      </c>
      <c r="AK294" s="168">
        <v>0.159</v>
      </c>
      <c r="AL294" s="215"/>
      <c r="AN294" s="214"/>
    </row>
    <row r="295" spans="1:40" s="209" customFormat="1" x14ac:dyDescent="0.35">
      <c r="A295" s="208"/>
      <c r="B295" s="218">
        <v>313</v>
      </c>
      <c r="C295" s="217" t="s">
        <v>195</v>
      </c>
      <c r="D295" s="218" t="s">
        <v>9</v>
      </c>
      <c r="E295" s="218">
        <v>1</v>
      </c>
      <c r="F295" s="218">
        <v>1037</v>
      </c>
      <c r="G295" s="218">
        <v>1</v>
      </c>
      <c r="H295" s="218">
        <v>115</v>
      </c>
      <c r="I295" s="218">
        <v>1</v>
      </c>
      <c r="J295" s="218">
        <v>5000</v>
      </c>
      <c r="K295" s="218">
        <v>65</v>
      </c>
      <c r="L295" s="218">
        <v>1</v>
      </c>
      <c r="M295" s="218">
        <f>(143.5+154+166+173)-(133+138+149.5+156)</f>
        <v>60</v>
      </c>
      <c r="N295" s="218"/>
      <c r="O295" s="218"/>
      <c r="P295" s="218"/>
      <c r="Q295" s="218"/>
      <c r="R295" s="218">
        <f t="shared" ref="R295:R332" si="190">IF(AND(X295&lt;&gt;0,AI295&lt;&gt;0,$M295&lt;&gt;0),$M295/($X295*(AI295/100)),"")</f>
        <v>0.59265703855797069</v>
      </c>
      <c r="S295" s="218">
        <f t="shared" ref="S295:S332" si="191">IF(AND(Y295&lt;&gt;0,AJ295&lt;&gt;0,$M295&lt;&gt;0),$M295/($X295*(AJ295/100)),"")</f>
        <v>0.34773780187227243</v>
      </c>
      <c r="T295" s="218">
        <f t="shared" ref="T295:T332" si="192">IF(AND(Z295&lt;&gt;0,AK295&lt;&gt;0,$M295&lt;&gt;0),$M295/($X295*(AK295/100)),"")</f>
        <v>57.387436933597954</v>
      </c>
      <c r="U295" s="223">
        <f t="shared" si="187"/>
        <v>0.94623450905624407</v>
      </c>
      <c r="V295" s="223">
        <f t="shared" si="188"/>
        <v>0.98363941456138715</v>
      </c>
      <c r="W295" s="223">
        <f t="shared" si="189"/>
        <v>1</v>
      </c>
      <c r="X295" s="218">
        <v>1608.5</v>
      </c>
      <c r="Y295" s="218">
        <v>1258.5</v>
      </c>
      <c r="Z295" s="218">
        <f t="shared" si="183"/>
        <v>0.21759403170655889</v>
      </c>
      <c r="AA295" s="219"/>
      <c r="AB295" s="218">
        <v>0.33839999999999998</v>
      </c>
      <c r="AC295" s="218">
        <v>0.17549999999999999</v>
      </c>
      <c r="AD295" s="220">
        <v>0</v>
      </c>
      <c r="AE295" s="219"/>
      <c r="AF295" s="218"/>
      <c r="AG295" s="220"/>
      <c r="AH295" s="219"/>
      <c r="AI295" s="218">
        <v>6.2939999999999996</v>
      </c>
      <c r="AJ295" s="218">
        <v>10.727</v>
      </c>
      <c r="AK295" s="220">
        <v>6.5000000000000002E-2</v>
      </c>
      <c r="AL295" s="216"/>
      <c r="AN295" s="210"/>
    </row>
    <row r="296" spans="1:40" x14ac:dyDescent="0.35">
      <c r="A296" s="211"/>
      <c r="B296" s="15">
        <v>314</v>
      </c>
      <c r="C296" s="47" t="s">
        <v>195</v>
      </c>
      <c r="D296" s="15" t="s">
        <v>9</v>
      </c>
      <c r="E296" s="15">
        <v>1</v>
      </c>
      <c r="F296" s="15">
        <v>1037</v>
      </c>
      <c r="G296" s="15">
        <v>2</v>
      </c>
      <c r="H296" s="15">
        <v>110</v>
      </c>
      <c r="I296" s="15">
        <v>2</v>
      </c>
      <c r="J296" s="15">
        <v>5000</v>
      </c>
      <c r="K296" s="15">
        <v>65</v>
      </c>
      <c r="L296" s="15">
        <v>1</v>
      </c>
      <c r="M296" s="15">
        <f>(154.5+167+149.5+156)-(138.5+149+136.5+143)</f>
        <v>60</v>
      </c>
      <c r="N296" s="15"/>
      <c r="O296" s="15"/>
      <c r="P296" s="15"/>
      <c r="Q296" s="15"/>
      <c r="R296" s="15">
        <f t="shared" si="190"/>
        <v>0.58591816012323028</v>
      </c>
      <c r="S296" s="15">
        <f t="shared" si="191"/>
        <v>0.34378380719824847</v>
      </c>
      <c r="T296" s="15">
        <f t="shared" si="192"/>
        <v>56.734906151009412</v>
      </c>
      <c r="U296" s="97">
        <f t="shared" si="187"/>
        <v>0.96661900222434072</v>
      </c>
      <c r="V296" s="97">
        <f t="shared" si="188"/>
        <v>0.98415213946117275</v>
      </c>
      <c r="W296" s="97">
        <f t="shared" si="189"/>
        <v>1</v>
      </c>
      <c r="X296" s="15">
        <v>1627</v>
      </c>
      <c r="Y296" s="15">
        <v>1240</v>
      </c>
      <c r="Z296" s="15">
        <f t="shared" si="183"/>
        <v>0.23786109403810696</v>
      </c>
      <c r="AA296" s="14"/>
      <c r="AB296" s="15">
        <v>0.21010000000000001</v>
      </c>
      <c r="AC296" s="127">
        <v>0.17</v>
      </c>
      <c r="AD296" s="101">
        <v>0</v>
      </c>
      <c r="AE296" s="14"/>
      <c r="AF296" s="15"/>
      <c r="AG296" s="101"/>
      <c r="AH296" s="14"/>
      <c r="AI296" s="15">
        <v>6.2939999999999996</v>
      </c>
      <c r="AJ296" s="15">
        <v>10.727</v>
      </c>
      <c r="AK296" s="101">
        <v>6.5000000000000002E-2</v>
      </c>
    </row>
    <row r="297" spans="1:40" x14ac:dyDescent="0.35">
      <c r="A297" s="211"/>
      <c r="B297" s="15">
        <v>315</v>
      </c>
      <c r="C297" s="47" t="s">
        <v>195</v>
      </c>
      <c r="D297" s="15" t="s">
        <v>9</v>
      </c>
      <c r="E297" s="15">
        <v>1</v>
      </c>
      <c r="F297" s="15">
        <v>1037</v>
      </c>
      <c r="G297" s="15">
        <v>3</v>
      </c>
      <c r="H297" s="15">
        <v>120</v>
      </c>
      <c r="I297" s="15">
        <v>1</v>
      </c>
      <c r="J297" s="15">
        <v>5000</v>
      </c>
      <c r="K297" s="15">
        <v>65</v>
      </c>
      <c r="L297" s="15">
        <v>1</v>
      </c>
      <c r="M297" s="15">
        <f>(161.5+187.5)-(128.5+159)</f>
        <v>61.5</v>
      </c>
      <c r="N297" s="15"/>
      <c r="O297" s="15"/>
      <c r="P297" s="15"/>
      <c r="Q297" s="15"/>
      <c r="R297" s="15">
        <f t="shared" si="190"/>
        <v>0.6178444942671566</v>
      </c>
      <c r="S297" s="15">
        <f t="shared" si="191"/>
        <v>0.36251638360375532</v>
      </c>
      <c r="T297" s="15">
        <f t="shared" si="192"/>
        <v>59.826357644884368</v>
      </c>
      <c r="U297" s="97">
        <f t="shared" si="187"/>
        <v>0.95996186844613918</v>
      </c>
      <c r="V297" s="97">
        <f t="shared" si="188"/>
        <v>0.98033933066094892</v>
      </c>
      <c r="W297" s="97">
        <f t="shared" si="189"/>
        <v>1</v>
      </c>
      <c r="X297" s="15">
        <v>1581.5</v>
      </c>
      <c r="Y297" s="15">
        <v>1223.5</v>
      </c>
      <c r="Z297" s="15">
        <f t="shared" si="183"/>
        <v>0.22636737274739172</v>
      </c>
      <c r="AA297" s="14"/>
      <c r="AB297" s="127">
        <v>0.252</v>
      </c>
      <c r="AC297" s="15">
        <v>0.2109</v>
      </c>
      <c r="AD297" s="101">
        <v>0</v>
      </c>
      <c r="AE297" s="14"/>
      <c r="AF297" s="15"/>
      <c r="AG297" s="101"/>
      <c r="AH297" s="14"/>
      <c r="AI297" s="15">
        <v>6.2939999999999996</v>
      </c>
      <c r="AJ297" s="15">
        <v>10.727</v>
      </c>
      <c r="AK297" s="101">
        <v>6.5000000000000002E-2</v>
      </c>
    </row>
    <row r="298" spans="1:40" x14ac:dyDescent="0.35">
      <c r="A298" s="211"/>
      <c r="B298" s="15">
        <v>316</v>
      </c>
      <c r="C298" s="47" t="s">
        <v>196</v>
      </c>
      <c r="D298" s="15" t="s">
        <v>9</v>
      </c>
      <c r="E298" s="15">
        <v>1</v>
      </c>
      <c r="F298" s="15">
        <v>1037</v>
      </c>
      <c r="G298" s="15">
        <v>4</v>
      </c>
      <c r="H298" s="15">
        <v>125</v>
      </c>
      <c r="I298" s="15">
        <v>2</v>
      </c>
      <c r="J298" s="15">
        <v>5000</v>
      </c>
      <c r="K298" s="15">
        <v>65</v>
      </c>
      <c r="L298" s="15">
        <v>1</v>
      </c>
      <c r="M298" s="15">
        <f>(137+148+180.5+183)-(127.5+136.5+164+165)</f>
        <v>55.5</v>
      </c>
      <c r="N298" s="15"/>
      <c r="O298" s="15"/>
      <c r="P298" s="15"/>
      <c r="Q298" s="15"/>
      <c r="R298" s="15">
        <f t="shared" si="190"/>
        <v>0.53120011025991487</v>
      </c>
      <c r="S298" s="15">
        <f t="shared" si="191"/>
        <v>0.31167833448083371</v>
      </c>
      <c r="T298" s="15">
        <f t="shared" si="192"/>
        <v>51.436515291936978</v>
      </c>
      <c r="U298" s="97">
        <f t="shared" si="187"/>
        <v>0.93396885923101358</v>
      </c>
      <c r="V298" s="97">
        <f t="shared" si="188"/>
        <v>0.9698983872471334</v>
      </c>
      <c r="W298" s="97">
        <f t="shared" si="189"/>
        <v>1</v>
      </c>
      <c r="X298" s="15">
        <v>1660</v>
      </c>
      <c r="Y298" s="15">
        <v>1293.5</v>
      </c>
      <c r="Z298" s="15">
        <f t="shared" si="183"/>
        <v>0.2207831325301205</v>
      </c>
      <c r="AA298" s="14"/>
      <c r="AB298" s="15">
        <v>0.41560000000000002</v>
      </c>
      <c r="AC298" s="15">
        <v>0.32290000000000002</v>
      </c>
      <c r="AD298" s="101">
        <v>0</v>
      </c>
      <c r="AE298" s="14"/>
      <c r="AF298" s="15"/>
      <c r="AG298" s="101"/>
      <c r="AH298" s="14"/>
      <c r="AI298" s="15">
        <v>6.2939999999999996</v>
      </c>
      <c r="AJ298" s="15">
        <v>10.727</v>
      </c>
      <c r="AK298" s="101">
        <v>6.5000000000000002E-2</v>
      </c>
    </row>
    <row r="299" spans="1:40" x14ac:dyDescent="0.35">
      <c r="A299" s="211"/>
      <c r="B299" s="15">
        <v>317</v>
      </c>
      <c r="C299" s="47" t="s">
        <v>197</v>
      </c>
      <c r="D299" s="15" t="s">
        <v>9</v>
      </c>
      <c r="E299" s="15">
        <v>1</v>
      </c>
      <c r="F299" s="15">
        <v>1037</v>
      </c>
      <c r="G299" s="15">
        <v>5</v>
      </c>
      <c r="H299" s="15">
        <v>100</v>
      </c>
      <c r="I299" s="15">
        <v>1</v>
      </c>
      <c r="J299" s="15">
        <v>5000</v>
      </c>
      <c r="K299" s="15">
        <v>65</v>
      </c>
      <c r="L299" s="15">
        <v>1</v>
      </c>
      <c r="M299" s="15">
        <f>(159.5+168.5+164+164.5)-(139.5+156+153+153)</f>
        <v>55</v>
      </c>
      <c r="N299" s="15"/>
      <c r="O299" s="15"/>
      <c r="P299" s="15"/>
      <c r="Q299" s="15"/>
      <c r="R299" s="15">
        <f t="shared" si="190"/>
        <v>0.5718901238942764</v>
      </c>
      <c r="S299" s="15">
        <f t="shared" si="191"/>
        <v>0.33555294488585591</v>
      </c>
      <c r="T299" s="15">
        <f t="shared" si="192"/>
        <v>55.376560612162706</v>
      </c>
      <c r="U299" s="97">
        <f t="shared" si="187"/>
        <v>0.91959008579599621</v>
      </c>
      <c r="V299" s="97">
        <f t="shared" si="188"/>
        <v>0.96313974084086884</v>
      </c>
      <c r="W299" s="97">
        <f t="shared" si="189"/>
        <v>1</v>
      </c>
      <c r="X299" s="15">
        <v>1528</v>
      </c>
      <c r="Y299" s="15">
        <v>1196</v>
      </c>
      <c r="Z299" s="15">
        <f t="shared" si="183"/>
        <v>0.2172774869109948</v>
      </c>
      <c r="AA299" s="14"/>
      <c r="AB299" s="15">
        <v>0.50609999999999999</v>
      </c>
      <c r="AC299" s="15">
        <v>0.39539999999999997</v>
      </c>
      <c r="AD299" s="101">
        <v>0</v>
      </c>
      <c r="AE299" s="14"/>
      <c r="AF299" s="15"/>
      <c r="AG299" s="101"/>
      <c r="AH299" s="14"/>
      <c r="AI299" s="15">
        <v>6.2939999999999996</v>
      </c>
      <c r="AJ299" s="15">
        <v>10.727</v>
      </c>
      <c r="AK299" s="101">
        <v>6.5000000000000002E-2</v>
      </c>
    </row>
    <row r="300" spans="1:40" s="213" customFormat="1" ht="15" thickBot="1" x14ac:dyDescent="0.4">
      <c r="A300" s="212"/>
      <c r="B300" s="171">
        <v>318</v>
      </c>
      <c r="C300" s="172" t="s">
        <v>197</v>
      </c>
      <c r="D300" s="171" t="s">
        <v>9</v>
      </c>
      <c r="E300" s="171">
        <v>1</v>
      </c>
      <c r="F300" s="171">
        <v>1037</v>
      </c>
      <c r="G300" s="171">
        <v>6</v>
      </c>
      <c r="H300" s="171">
        <v>95</v>
      </c>
      <c r="I300" s="171">
        <v>2</v>
      </c>
      <c r="J300" s="171">
        <v>5000</v>
      </c>
      <c r="K300" s="171">
        <v>65</v>
      </c>
      <c r="L300" s="171">
        <v>1</v>
      </c>
      <c r="M300" s="171">
        <f>(174+159.5+139.5+156+152.5+152)-(163.5+149+130.5+142.5+149+149)</f>
        <v>50</v>
      </c>
      <c r="N300" s="171"/>
      <c r="O300" s="171"/>
      <c r="P300" s="171"/>
      <c r="Q300" s="171"/>
      <c r="R300" s="171">
        <f t="shared" si="190"/>
        <v>0.5301350497833921</v>
      </c>
      <c r="S300" s="171">
        <f t="shared" si="191"/>
        <v>0.31105341692334015</v>
      </c>
      <c r="T300" s="171">
        <f t="shared" si="192"/>
        <v>51.333384666718004</v>
      </c>
      <c r="U300" s="173">
        <f t="shared" si="187"/>
        <v>0.94806164601207499</v>
      </c>
      <c r="V300" s="173">
        <f t="shared" si="188"/>
        <v>0.97673161182063961</v>
      </c>
      <c r="W300" s="173">
        <f t="shared" si="189"/>
        <v>1</v>
      </c>
      <c r="X300" s="171">
        <v>1498.5</v>
      </c>
      <c r="Y300" s="171">
        <v>1161</v>
      </c>
      <c r="Z300" s="171">
        <f t="shared" si="183"/>
        <v>0.22522522522522526</v>
      </c>
      <c r="AA300" s="175"/>
      <c r="AB300" s="171">
        <v>0.32690000000000002</v>
      </c>
      <c r="AC300" s="171">
        <v>0.24959999999999999</v>
      </c>
      <c r="AD300" s="176">
        <v>0</v>
      </c>
      <c r="AE300" s="175"/>
      <c r="AF300" s="171"/>
      <c r="AG300" s="176"/>
      <c r="AH300" s="175"/>
      <c r="AI300" s="171">
        <v>6.2939999999999996</v>
      </c>
      <c r="AJ300" s="171">
        <v>10.727</v>
      </c>
      <c r="AK300" s="176">
        <v>6.5000000000000002E-2</v>
      </c>
      <c r="AL300" s="215"/>
      <c r="AN300" s="214"/>
    </row>
    <row r="301" spans="1:40" s="209" customFormat="1" x14ac:dyDescent="0.35">
      <c r="A301" s="208"/>
      <c r="B301" s="226">
        <v>319</v>
      </c>
      <c r="C301" s="217" t="s">
        <v>198</v>
      </c>
      <c r="D301" s="218" t="s">
        <v>9</v>
      </c>
      <c r="E301" s="218">
        <v>1</v>
      </c>
      <c r="F301" s="218">
        <v>1035</v>
      </c>
      <c r="G301" s="218">
        <v>1</v>
      </c>
      <c r="H301" s="218">
        <v>90</v>
      </c>
      <c r="I301" s="218">
        <v>1</v>
      </c>
      <c r="J301" s="218">
        <v>5000</v>
      </c>
      <c r="K301" s="218">
        <v>65</v>
      </c>
      <c r="L301" s="218">
        <v>1</v>
      </c>
      <c r="M301" s="218">
        <f>(166+161.5+150.5+154)-(158+153+134+137)</f>
        <v>50</v>
      </c>
      <c r="N301" s="218"/>
      <c r="O301" s="218"/>
      <c r="P301" s="218"/>
      <c r="Q301" s="218"/>
      <c r="R301" s="218">
        <f t="shared" si="190"/>
        <v>0.51160148454472376</v>
      </c>
      <c r="S301" s="218">
        <f t="shared" si="191"/>
        <v>0.30318244549385998</v>
      </c>
      <c r="T301" s="218">
        <f t="shared" si="192"/>
        <v>50.472421868690951</v>
      </c>
      <c r="U301" s="223">
        <f t="shared" si="187"/>
        <v>0.89647723496178133</v>
      </c>
      <c r="V301" s="223">
        <f t="shared" si="188"/>
        <v>0.9567700640078779</v>
      </c>
      <c r="W301" s="223">
        <f t="shared" si="189"/>
        <v>0.67213114754098358</v>
      </c>
      <c r="X301" s="218">
        <v>1624</v>
      </c>
      <c r="Y301" s="218">
        <v>1327</v>
      </c>
      <c r="Z301" s="218">
        <f t="shared" si="183"/>
        <v>0.18288177339901479</v>
      </c>
      <c r="AA301" s="219"/>
      <c r="AB301" s="218">
        <v>0.623</v>
      </c>
      <c r="AC301" s="218">
        <v>0.439</v>
      </c>
      <c r="AD301" s="227">
        <v>0.02</v>
      </c>
      <c r="AE301" s="219"/>
      <c r="AF301" s="218"/>
      <c r="AG301" s="220"/>
      <c r="AH301" s="219"/>
      <c r="AI301" s="218">
        <v>6.0179999999999998</v>
      </c>
      <c r="AJ301" s="218">
        <v>10.154999999999999</v>
      </c>
      <c r="AK301" s="228">
        <v>6.0999999999999999E-2</v>
      </c>
      <c r="AN301" s="210"/>
    </row>
    <row r="302" spans="1:40" x14ac:dyDescent="0.35">
      <c r="A302" s="211"/>
      <c r="B302" s="169">
        <v>320</v>
      </c>
      <c r="C302" s="47" t="s">
        <v>198</v>
      </c>
      <c r="D302" s="15" t="s">
        <v>9</v>
      </c>
      <c r="E302" s="15">
        <v>1</v>
      </c>
      <c r="F302" s="15">
        <v>1035</v>
      </c>
      <c r="G302" s="15">
        <v>2</v>
      </c>
      <c r="H302" s="15">
        <v>130</v>
      </c>
      <c r="I302" s="15">
        <v>2</v>
      </c>
      <c r="J302" s="15">
        <v>5000</v>
      </c>
      <c r="K302" s="15">
        <v>65</v>
      </c>
      <c r="L302" s="15">
        <v>1</v>
      </c>
      <c r="M302" s="15">
        <v>65.5</v>
      </c>
      <c r="N302" s="15"/>
      <c r="O302" s="15"/>
      <c r="P302" s="15"/>
      <c r="Q302" s="15"/>
      <c r="R302" s="15">
        <f t="shared" si="190"/>
        <v>0.65923771185937441</v>
      </c>
      <c r="S302" s="15">
        <f t="shared" si="191"/>
        <v>0.3906738109275939</v>
      </c>
      <c r="T302" s="15">
        <f t="shared" si="192"/>
        <v>65.037582786388782</v>
      </c>
      <c r="U302" s="97">
        <f t="shared" si="187"/>
        <v>0.82519109338650709</v>
      </c>
      <c r="V302" s="97">
        <f t="shared" si="188"/>
        <v>0.92013786312161494</v>
      </c>
      <c r="W302" s="97">
        <f t="shared" si="189"/>
        <v>0.52459016393442626</v>
      </c>
      <c r="X302" s="15">
        <v>1651</v>
      </c>
      <c r="Y302" s="15">
        <v>1339</v>
      </c>
      <c r="Z302" s="15">
        <f t="shared" si="183"/>
        <v>0.1889763779527559</v>
      </c>
      <c r="AA302" s="14"/>
      <c r="AB302" s="15">
        <v>1.052</v>
      </c>
      <c r="AC302" s="15">
        <v>0.81100000000000005</v>
      </c>
      <c r="AD302" s="101">
        <v>2.9000000000000001E-2</v>
      </c>
      <c r="AE302" s="14"/>
      <c r="AF302" s="15"/>
      <c r="AG302" s="101"/>
      <c r="AH302" s="14"/>
      <c r="AI302" s="15">
        <v>6.0179999999999998</v>
      </c>
      <c r="AJ302" s="15">
        <v>10.154999999999999</v>
      </c>
      <c r="AK302" s="221">
        <v>6.0999999999999999E-2</v>
      </c>
      <c r="AL302" s="19"/>
    </row>
    <row r="303" spans="1:40" x14ac:dyDescent="0.35">
      <c r="A303" s="211"/>
      <c r="B303" s="169">
        <v>321</v>
      </c>
      <c r="C303" s="47" t="s">
        <v>199</v>
      </c>
      <c r="D303" s="15" t="s">
        <v>9</v>
      </c>
      <c r="E303" s="15">
        <v>1</v>
      </c>
      <c r="F303" s="15">
        <v>1035</v>
      </c>
      <c r="G303" s="15">
        <v>3</v>
      </c>
      <c r="H303" s="15">
        <v>90</v>
      </c>
      <c r="I303" s="15">
        <v>1</v>
      </c>
      <c r="J303" s="15">
        <v>5000</v>
      </c>
      <c r="K303" s="15">
        <v>65</v>
      </c>
      <c r="L303" s="15">
        <v>1</v>
      </c>
      <c r="M303" s="15">
        <f>(158+181+162+180.5)-(153.5+179.5+139.5+159)</f>
        <v>50</v>
      </c>
      <c r="N303" s="15"/>
      <c r="O303" s="15"/>
      <c r="P303" s="15"/>
      <c r="Q303" s="15"/>
      <c r="R303" s="15">
        <f t="shared" si="190"/>
        <v>0.51685275950272558</v>
      </c>
      <c r="S303" s="15">
        <f t="shared" si="191"/>
        <v>0.30629442704947352</v>
      </c>
      <c r="T303" s="15">
        <f t="shared" si="192"/>
        <v>50.990490273563985</v>
      </c>
      <c r="U303" s="97">
        <f t="shared" si="187"/>
        <v>0.95230973745430381</v>
      </c>
      <c r="V303" s="97">
        <f t="shared" si="188"/>
        <v>0.97705563761693737</v>
      </c>
      <c r="W303" s="97">
        <f t="shared" si="189"/>
        <v>0.81967213114754101</v>
      </c>
      <c r="X303" s="15">
        <v>1607.5</v>
      </c>
      <c r="Y303" s="15">
        <v>1253.5</v>
      </c>
      <c r="Z303" s="15">
        <f t="shared" si="183"/>
        <v>0.22021772939346806</v>
      </c>
      <c r="AA303" s="14"/>
      <c r="AB303" s="15">
        <v>0.28699999999999998</v>
      </c>
      <c r="AC303" s="15">
        <v>0.23300000000000001</v>
      </c>
      <c r="AD303" s="101">
        <v>1.0999999999999999E-2</v>
      </c>
      <c r="AE303" s="14"/>
      <c r="AF303" s="15"/>
      <c r="AG303" s="101"/>
      <c r="AH303" s="14"/>
      <c r="AI303" s="15">
        <v>6.0179999999999998</v>
      </c>
      <c r="AJ303" s="15">
        <v>10.154999999999999</v>
      </c>
      <c r="AK303" s="221">
        <v>6.0999999999999999E-2</v>
      </c>
      <c r="AL303" s="19"/>
    </row>
    <row r="304" spans="1:40" x14ac:dyDescent="0.35">
      <c r="A304" s="211"/>
      <c r="B304" s="169">
        <v>322</v>
      </c>
      <c r="C304" s="47" t="s">
        <v>199</v>
      </c>
      <c r="D304" s="15" t="s">
        <v>9</v>
      </c>
      <c r="E304" s="15">
        <v>1</v>
      </c>
      <c r="F304" s="15">
        <v>1035</v>
      </c>
      <c r="G304" s="15">
        <v>4</v>
      </c>
      <c r="H304" s="15">
        <v>90</v>
      </c>
      <c r="I304" s="15">
        <v>2</v>
      </c>
      <c r="J304" s="15">
        <v>5000</v>
      </c>
      <c r="K304" s="15">
        <v>65</v>
      </c>
      <c r="L304" s="15">
        <v>1</v>
      </c>
      <c r="M304" s="15">
        <f>(153.5+179.5+182+179)-(133+175+169.5+166.5)</f>
        <v>50</v>
      </c>
      <c r="N304" s="15"/>
      <c r="O304" s="15"/>
      <c r="P304" s="15"/>
      <c r="Q304" s="15"/>
      <c r="R304" s="15">
        <f t="shared" si="190"/>
        <v>0.5134986470337648</v>
      </c>
      <c r="S304" s="15">
        <f t="shared" si="191"/>
        <v>0.30430673144748366</v>
      </c>
      <c r="T304" s="15">
        <f t="shared" si="192"/>
        <v>50.659587833593385</v>
      </c>
      <c r="U304" s="97">
        <f t="shared" si="187"/>
        <v>0.9496510468594217</v>
      </c>
      <c r="V304" s="97">
        <f t="shared" si="188"/>
        <v>0.97459379615952724</v>
      </c>
      <c r="W304" s="97">
        <f t="shared" si="189"/>
        <v>0.81967213114754101</v>
      </c>
      <c r="X304" s="15">
        <v>1618</v>
      </c>
      <c r="Y304" s="15">
        <v>1313</v>
      </c>
      <c r="Z304" s="15">
        <f t="shared" si="183"/>
        <v>0.18850432632880099</v>
      </c>
      <c r="AA304" s="14"/>
      <c r="AB304" s="15">
        <v>0.30299999999999999</v>
      </c>
      <c r="AC304" s="15">
        <v>0.25800000000000001</v>
      </c>
      <c r="AD304" s="101">
        <v>1.0999999999999999E-2</v>
      </c>
      <c r="AE304" s="14"/>
      <c r="AF304" s="15"/>
      <c r="AG304" s="101"/>
      <c r="AH304" s="14"/>
      <c r="AI304" s="15">
        <v>6.0179999999999998</v>
      </c>
      <c r="AJ304" s="15">
        <v>10.154999999999999</v>
      </c>
      <c r="AK304" s="221">
        <v>6.0999999999999999E-2</v>
      </c>
      <c r="AL304" s="19"/>
    </row>
    <row r="305" spans="1:40" x14ac:dyDescent="0.35">
      <c r="A305" s="211"/>
      <c r="B305" s="169">
        <v>323</v>
      </c>
      <c r="C305" s="47" t="s">
        <v>199</v>
      </c>
      <c r="D305" s="15" t="s">
        <v>9</v>
      </c>
      <c r="E305" s="15">
        <v>1</v>
      </c>
      <c r="F305" s="15">
        <v>1035</v>
      </c>
      <c r="G305" s="15">
        <v>5</v>
      </c>
      <c r="H305" s="15">
        <v>130</v>
      </c>
      <c r="I305" s="15">
        <v>1</v>
      </c>
      <c r="J305" s="15">
        <v>5000</v>
      </c>
      <c r="K305" s="15">
        <v>65</v>
      </c>
      <c r="L305" s="15">
        <v>1</v>
      </c>
      <c r="M305" s="15">
        <v>66</v>
      </c>
      <c r="N305" s="15"/>
      <c r="O305" s="15"/>
      <c r="P305" s="15"/>
      <c r="Q305" s="15"/>
      <c r="R305" s="15">
        <f t="shared" si="190"/>
        <v>0.68203350148559305</v>
      </c>
      <c r="S305" s="15">
        <f>IF(AND(Y305&lt;&gt;0,AJ305&lt;&gt;0,$M305&lt;&gt;0),$M305/($X305*(AJ305/100)),"")</f>
        <v>0.40418292584345633</v>
      </c>
      <c r="T305" s="15">
        <f t="shared" si="192"/>
        <v>67.286518228529488</v>
      </c>
      <c r="U305" s="97">
        <f t="shared" si="187"/>
        <v>0.82336324360252577</v>
      </c>
      <c r="V305" s="97">
        <f t="shared" si="188"/>
        <v>0.91629739044805514</v>
      </c>
      <c r="W305" s="97">
        <f t="shared" si="189"/>
        <v>0.55737704918032793</v>
      </c>
      <c r="X305" s="15">
        <v>1608</v>
      </c>
      <c r="Y305" s="15">
        <v>1310</v>
      </c>
      <c r="Z305" s="15">
        <f t="shared" si="183"/>
        <v>0.18532338308457708</v>
      </c>
      <c r="AA305" s="14"/>
      <c r="AB305" s="15">
        <v>1.0629999999999999</v>
      </c>
      <c r="AC305" s="126">
        <v>0.85</v>
      </c>
      <c r="AD305" s="101">
        <v>2.7E-2</v>
      </c>
      <c r="AE305" s="14"/>
      <c r="AF305" s="15"/>
      <c r="AG305" s="101"/>
      <c r="AH305" s="14"/>
      <c r="AI305" s="15">
        <v>6.0179999999999998</v>
      </c>
      <c r="AJ305" s="15">
        <v>10.154999999999999</v>
      </c>
      <c r="AK305" s="221">
        <v>6.0999999999999999E-2</v>
      </c>
      <c r="AL305" s="19"/>
    </row>
    <row r="306" spans="1:40" x14ac:dyDescent="0.35">
      <c r="A306" s="211"/>
      <c r="B306" s="169">
        <v>324</v>
      </c>
      <c r="C306" s="47" t="s">
        <v>199</v>
      </c>
      <c r="D306" s="15" t="s">
        <v>9</v>
      </c>
      <c r="E306" s="15">
        <v>1</v>
      </c>
      <c r="F306" s="15">
        <v>1035</v>
      </c>
      <c r="G306" s="15">
        <v>6</v>
      </c>
      <c r="H306" s="15">
        <v>95</v>
      </c>
      <c r="I306" s="15">
        <v>2</v>
      </c>
      <c r="J306" s="15">
        <v>5000</v>
      </c>
      <c r="K306" s="15">
        <v>65</v>
      </c>
      <c r="L306" s="15">
        <v>1</v>
      </c>
      <c r="M306" s="15">
        <f>(153+155+164.5+165.5)-(134+134+162.5+157)</f>
        <v>50.5</v>
      </c>
      <c r="N306" s="15"/>
      <c r="O306" s="15"/>
      <c r="P306" s="15"/>
      <c r="Q306" s="15"/>
      <c r="R306" s="15">
        <f t="shared" si="190"/>
        <v>0.52594748919438283</v>
      </c>
      <c r="S306" s="15">
        <f t="shared" si="191"/>
        <v>0.3116840955166712</v>
      </c>
      <c r="T306" s="15">
        <f t="shared" si="192"/>
        <v>51.887737540521243</v>
      </c>
      <c r="U306" s="97">
        <f t="shared" si="187"/>
        <v>0.93369890329012961</v>
      </c>
      <c r="V306" s="97">
        <f t="shared" si="188"/>
        <v>0.97035942885278181</v>
      </c>
      <c r="W306" s="97">
        <f t="shared" si="189"/>
        <v>0.81967213114754101</v>
      </c>
      <c r="X306" s="15">
        <v>1595.5</v>
      </c>
      <c r="Y306" s="15">
        <v>1265.5</v>
      </c>
      <c r="Z306" s="15">
        <f t="shared" si="183"/>
        <v>0.20683171419617674</v>
      </c>
      <c r="AA306" s="14"/>
      <c r="AB306" s="15">
        <v>0.39900000000000002</v>
      </c>
      <c r="AC306" s="15">
        <v>0.30099999999999999</v>
      </c>
      <c r="AD306" s="101">
        <v>1.0999999999999999E-2</v>
      </c>
      <c r="AE306" s="14"/>
      <c r="AF306" s="15"/>
      <c r="AG306" s="101"/>
      <c r="AH306" s="14"/>
      <c r="AI306" s="15">
        <v>6.0179999999999998</v>
      </c>
      <c r="AJ306" s="15">
        <v>10.154999999999999</v>
      </c>
      <c r="AK306" s="221">
        <v>6.0999999999999999E-2</v>
      </c>
      <c r="AL306" s="19"/>
    </row>
    <row r="307" spans="1:40" x14ac:dyDescent="0.35">
      <c r="A307" s="211"/>
      <c r="B307" s="169">
        <v>325</v>
      </c>
      <c r="C307" s="47" t="s">
        <v>199</v>
      </c>
      <c r="D307" s="15" t="s">
        <v>9</v>
      </c>
      <c r="E307" s="15">
        <v>1</v>
      </c>
      <c r="F307" s="15">
        <v>1035</v>
      </c>
      <c r="G307" s="15">
        <v>7</v>
      </c>
      <c r="H307" s="15">
        <v>120</v>
      </c>
      <c r="I307" s="15">
        <v>1</v>
      </c>
      <c r="J307" s="15">
        <v>5000</v>
      </c>
      <c r="K307" s="15">
        <v>65</v>
      </c>
      <c r="L307" s="15">
        <v>1</v>
      </c>
      <c r="M307" s="15">
        <f>(147+151+162.5+157)-(139.5+143+142.5+137.5)</f>
        <v>55</v>
      </c>
      <c r="N307" s="15"/>
      <c r="O307" s="15"/>
      <c r="P307" s="15"/>
      <c r="Q307" s="15"/>
      <c r="R307" s="15">
        <f t="shared" si="190"/>
        <v>0.57479552955389601</v>
      </c>
      <c r="S307" s="15">
        <f t="shared" si="191"/>
        <v>0.34063215133976821</v>
      </c>
      <c r="T307" s="15">
        <f t="shared" si="192"/>
        <v>56.706876997628619</v>
      </c>
      <c r="U307" s="97">
        <f t="shared" si="187"/>
        <v>0.95264207377866394</v>
      </c>
      <c r="V307" s="97">
        <f t="shared" si="188"/>
        <v>0.98129000492368301</v>
      </c>
      <c r="W307" s="97">
        <f t="shared" si="189"/>
        <v>1</v>
      </c>
      <c r="X307" s="15">
        <v>1590</v>
      </c>
      <c r="Y307" s="15">
        <v>1221</v>
      </c>
      <c r="Z307" s="15">
        <f t="shared" si="183"/>
        <v>0.23207547169811316</v>
      </c>
      <c r="AA307" s="14"/>
      <c r="AB307" s="15">
        <v>0.28499999999999998</v>
      </c>
      <c r="AC307" s="126">
        <v>0.19</v>
      </c>
      <c r="AD307" s="101">
        <v>0</v>
      </c>
      <c r="AE307" s="14"/>
      <c r="AF307" s="15"/>
      <c r="AG307" s="101"/>
      <c r="AH307" s="14"/>
      <c r="AI307" s="15">
        <v>6.0179999999999998</v>
      </c>
      <c r="AJ307" s="15">
        <v>10.154999999999999</v>
      </c>
      <c r="AK307" s="221">
        <v>6.0999999999999999E-2</v>
      </c>
      <c r="AL307" s="19"/>
    </row>
    <row r="308" spans="1:40" x14ac:dyDescent="0.35">
      <c r="A308" s="211"/>
      <c r="B308" s="169">
        <v>326</v>
      </c>
      <c r="C308" s="47" t="s">
        <v>199</v>
      </c>
      <c r="D308" s="15" t="s">
        <v>9</v>
      </c>
      <c r="E308" s="15">
        <v>1</v>
      </c>
      <c r="F308" s="15">
        <v>1035</v>
      </c>
      <c r="G308" s="15">
        <v>8</v>
      </c>
      <c r="H308" s="15">
        <v>100</v>
      </c>
      <c r="I308" s="15">
        <v>2</v>
      </c>
      <c r="J308" s="15">
        <v>5000</v>
      </c>
      <c r="K308" s="15">
        <v>65</v>
      </c>
      <c r="L308" s="15">
        <v>1</v>
      </c>
      <c r="M308" s="15">
        <f>(151.5+158.5+178+182.5)-(149+156+142.5+171)</f>
        <v>52</v>
      </c>
      <c r="N308" s="15"/>
      <c r="O308" s="15"/>
      <c r="P308" s="15"/>
      <c r="Q308" s="15"/>
      <c r="R308" s="15">
        <f t="shared" si="190"/>
        <v>0.53288587316475899</v>
      </c>
      <c r="S308" s="15">
        <f t="shared" si="191"/>
        <v>0.31579588229497979</v>
      </c>
      <c r="T308" s="15">
        <f t="shared" si="192"/>
        <v>52.572248929598686</v>
      </c>
      <c r="U308" s="97">
        <f t="shared" si="187"/>
        <v>0.93552675307411104</v>
      </c>
      <c r="V308" s="97">
        <f t="shared" si="188"/>
        <v>0.96917774495322495</v>
      </c>
      <c r="W308" s="97">
        <f t="shared" si="189"/>
        <v>0.80327868852459017</v>
      </c>
      <c r="X308" s="15">
        <v>1621.5</v>
      </c>
      <c r="Y308" s="15">
        <v>1324.5</v>
      </c>
      <c r="Z308" s="15">
        <f t="shared" si="183"/>
        <v>0.183163737280296</v>
      </c>
      <c r="AA308" s="14"/>
      <c r="AB308" s="15">
        <v>0.38800000000000001</v>
      </c>
      <c r="AC308" s="15">
        <v>0.313</v>
      </c>
      <c r="AD308" s="101">
        <v>1.2E-2</v>
      </c>
      <c r="AE308" s="14"/>
      <c r="AF308" s="15"/>
      <c r="AG308" s="101"/>
      <c r="AH308" s="14"/>
      <c r="AI308" s="15">
        <v>6.0179999999999998</v>
      </c>
      <c r="AJ308" s="15">
        <v>10.154999999999999</v>
      </c>
      <c r="AK308" s="221">
        <v>6.0999999999999999E-2</v>
      </c>
      <c r="AL308" s="19"/>
    </row>
    <row r="309" spans="1:40" x14ac:dyDescent="0.35">
      <c r="A309" s="211"/>
      <c r="B309" s="169">
        <v>327</v>
      </c>
      <c r="C309" s="47" t="s">
        <v>200</v>
      </c>
      <c r="D309" s="15" t="s">
        <v>9</v>
      </c>
      <c r="E309" s="15">
        <v>1</v>
      </c>
      <c r="F309" s="15">
        <v>1035</v>
      </c>
      <c r="G309" s="15">
        <v>9</v>
      </c>
      <c r="H309" s="15">
        <v>100</v>
      </c>
      <c r="I309" s="15">
        <v>1</v>
      </c>
      <c r="J309" s="15">
        <v>5000</v>
      </c>
      <c r="K309" s="15">
        <v>65</v>
      </c>
      <c r="L309" s="15">
        <v>1</v>
      </c>
      <c r="M309" s="15">
        <f>(149+156)-(125+130)</f>
        <v>50</v>
      </c>
      <c r="N309" s="15"/>
      <c r="O309" s="15"/>
      <c r="P309" s="15"/>
      <c r="Q309" s="15"/>
      <c r="R309" s="15">
        <f t="shared" si="190"/>
        <v>0.4999042183517638</v>
      </c>
      <c r="S309" s="15">
        <f t="shared" si="191"/>
        <v>0.29625047622264056</v>
      </c>
      <c r="T309" s="15">
        <f t="shared" si="192"/>
        <v>49.318419443293685</v>
      </c>
      <c r="U309" s="97">
        <f t="shared" si="187"/>
        <v>0.80475240943835169</v>
      </c>
      <c r="V309" s="97">
        <f t="shared" si="188"/>
        <v>0.91915312653865089</v>
      </c>
      <c r="W309" s="97">
        <f t="shared" si="189"/>
        <v>0.31147540983606553</v>
      </c>
      <c r="X309" s="15">
        <v>1662</v>
      </c>
      <c r="Y309" s="15">
        <v>1329.5</v>
      </c>
      <c r="Z309" s="15">
        <f t="shared" si="183"/>
        <v>0.20006016847172081</v>
      </c>
      <c r="AA309" s="14"/>
      <c r="AB309" s="15">
        <v>1.175</v>
      </c>
      <c r="AC309" s="15">
        <v>0.82099999999999995</v>
      </c>
      <c r="AD309" s="101">
        <v>4.2000000000000003E-2</v>
      </c>
      <c r="AE309" s="14"/>
      <c r="AF309" s="15"/>
      <c r="AG309" s="101"/>
      <c r="AH309" s="14"/>
      <c r="AI309" s="15">
        <v>6.0179999999999998</v>
      </c>
      <c r="AJ309" s="15">
        <v>10.154999999999999</v>
      </c>
      <c r="AK309" s="221">
        <v>6.0999999999999999E-2</v>
      </c>
      <c r="AL309" s="19"/>
    </row>
    <row r="310" spans="1:40" s="213" customFormat="1" ht="18" customHeight="1" thickBot="1" x14ac:dyDescent="0.4">
      <c r="A310" s="212"/>
      <c r="B310" s="170">
        <v>328</v>
      </c>
      <c r="C310" s="172" t="s">
        <v>200</v>
      </c>
      <c r="D310" s="171" t="s">
        <v>9</v>
      </c>
      <c r="E310" s="171">
        <v>1</v>
      </c>
      <c r="F310" s="171">
        <v>1035</v>
      </c>
      <c r="G310" s="171">
        <v>10</v>
      </c>
      <c r="H310" s="171">
        <v>120</v>
      </c>
      <c r="I310" s="171">
        <v>2</v>
      </c>
      <c r="J310" s="171">
        <v>5000</v>
      </c>
      <c r="K310" s="171">
        <v>65</v>
      </c>
      <c r="L310" s="171">
        <v>1</v>
      </c>
      <c r="M310" s="171">
        <f>(154.5+119.5)-(125+92.5)</f>
        <v>56.5</v>
      </c>
      <c r="N310" s="171"/>
      <c r="O310" s="171"/>
      <c r="P310" s="171"/>
      <c r="Q310" s="171"/>
      <c r="R310" s="171">
        <f t="shared" si="190"/>
        <v>0.61083286683000237</v>
      </c>
      <c r="S310" s="171">
        <f t="shared" si="191"/>
        <v>0.36198839907266905</v>
      </c>
      <c r="T310" s="171">
        <f t="shared" si="192"/>
        <v>60.262167091523835</v>
      </c>
      <c r="U310" s="173">
        <f t="shared" si="187"/>
        <v>0.9906945829179129</v>
      </c>
      <c r="V310" s="173">
        <f t="shared" si="188"/>
        <v>0.9924175283111768</v>
      </c>
      <c r="W310" s="173">
        <f t="shared" si="189"/>
        <v>1</v>
      </c>
      <c r="X310" s="171">
        <v>1537</v>
      </c>
      <c r="Y310" s="171">
        <v>1222</v>
      </c>
      <c r="Z310" s="171">
        <f t="shared" si="183"/>
        <v>0.20494469746258948</v>
      </c>
      <c r="AA310" s="175"/>
      <c r="AB310" s="171">
        <v>5.6000000000000001E-2</v>
      </c>
      <c r="AC310" s="171">
        <v>7.6999999999999999E-2</v>
      </c>
      <c r="AD310" s="176">
        <v>0</v>
      </c>
      <c r="AE310" s="175"/>
      <c r="AF310" s="171"/>
      <c r="AG310" s="176"/>
      <c r="AH310" s="175"/>
      <c r="AI310" s="171">
        <v>6.0179999999999998</v>
      </c>
      <c r="AJ310" s="171">
        <v>10.154999999999999</v>
      </c>
      <c r="AK310" s="229">
        <v>6.0999999999999999E-2</v>
      </c>
      <c r="AN310" s="214"/>
    </row>
    <row r="311" spans="1:40" s="155" customFormat="1" x14ac:dyDescent="0.35">
      <c r="A311" s="154"/>
      <c r="B311" s="155">
        <v>329</v>
      </c>
      <c r="C311" s="224">
        <v>43523</v>
      </c>
      <c r="D311" s="155" t="s">
        <v>90</v>
      </c>
      <c r="F311" s="155">
        <v>1086</v>
      </c>
      <c r="G311" s="155">
        <v>1</v>
      </c>
      <c r="H311" s="155">
        <v>105</v>
      </c>
      <c r="I311" s="155">
        <v>1</v>
      </c>
      <c r="J311" s="155">
        <v>5000</v>
      </c>
      <c r="K311" s="155">
        <v>65</v>
      </c>
      <c r="L311" s="155">
        <v>1</v>
      </c>
      <c r="M311" s="155">
        <f>(150.5+164.5+153.5+153)-(135+143+133.5+145)</f>
        <v>65</v>
      </c>
      <c r="R311" s="155">
        <f t="shared" si="190"/>
        <v>0.41601628920100697</v>
      </c>
      <c r="S311" s="155">
        <f t="shared" si="191"/>
        <v>137.21648962221133</v>
      </c>
      <c r="T311" s="155">
        <f t="shared" si="192"/>
        <v>8.6924473063844285</v>
      </c>
      <c r="U311" s="157">
        <f t="shared" si="187"/>
        <v>0.95462107117896622</v>
      </c>
      <c r="V311" s="157">
        <f t="shared" si="188"/>
        <v>1</v>
      </c>
      <c r="W311" s="157">
        <f t="shared" si="189"/>
        <v>0.89921842863019341</v>
      </c>
      <c r="X311" s="155">
        <v>1538</v>
      </c>
      <c r="Y311" s="155">
        <v>1297</v>
      </c>
      <c r="Z311" s="155">
        <f t="shared" si="183"/>
        <v>0.15669700910273077</v>
      </c>
      <c r="AA311" s="159"/>
      <c r="AB311" s="155">
        <v>0.46100000000000002</v>
      </c>
      <c r="AC311" s="155">
        <v>0</v>
      </c>
      <c r="AD311" s="160">
        <v>4.9000000000000002E-2</v>
      </c>
      <c r="AE311" s="159"/>
      <c r="AG311" s="160"/>
      <c r="AH311" s="159"/>
      <c r="AI311" s="155">
        <v>10.158899999999999</v>
      </c>
      <c r="AJ311" s="155">
        <v>3.0800000000000001E-2</v>
      </c>
      <c r="AK311" s="160">
        <v>0.48620000000000002</v>
      </c>
      <c r="AL311" s="159"/>
      <c r="AN311" s="160"/>
    </row>
    <row r="312" spans="1:40" s="17" customFormat="1" x14ac:dyDescent="0.35">
      <c r="A312" s="161"/>
      <c r="B312" s="17">
        <v>330</v>
      </c>
      <c r="C312" s="45">
        <v>43523</v>
      </c>
      <c r="D312" s="17" t="s">
        <v>90</v>
      </c>
      <c r="F312" s="17">
        <v>1086</v>
      </c>
      <c r="G312" s="17">
        <v>2</v>
      </c>
      <c r="H312" s="17">
        <v>110</v>
      </c>
      <c r="I312" s="17">
        <v>2</v>
      </c>
      <c r="J312" s="17">
        <v>5000</v>
      </c>
      <c r="K312" s="17">
        <v>65</v>
      </c>
      <c r="L312" s="17">
        <v>1</v>
      </c>
      <c r="M312" s="17">
        <f>(135+143+166.5+168)-(127+134+145+146.5)</f>
        <v>60</v>
      </c>
      <c r="R312" s="17">
        <f t="shared" si="190"/>
        <v>0.38401503618554489</v>
      </c>
      <c r="S312" s="17">
        <f t="shared" si="191"/>
        <v>126.66137503588739</v>
      </c>
      <c r="T312" s="17">
        <f t="shared" si="192"/>
        <v>8.0237975135856257</v>
      </c>
      <c r="U312" s="91">
        <f t="shared" si="187"/>
        <v>0.95442419947041524</v>
      </c>
      <c r="V312" s="91">
        <f t="shared" si="188"/>
        <v>1</v>
      </c>
      <c r="W312" s="91">
        <f t="shared" si="189"/>
        <v>0.9095022624434389</v>
      </c>
      <c r="X312" s="17">
        <v>1538</v>
      </c>
      <c r="Y312" s="17">
        <v>1307.5</v>
      </c>
      <c r="Z312" s="17">
        <f t="shared" si="183"/>
        <v>0.14986996098829652</v>
      </c>
      <c r="AA312" s="16"/>
      <c r="AB312" s="17">
        <v>0.46300000000000002</v>
      </c>
      <c r="AC312" s="17">
        <v>0</v>
      </c>
      <c r="AD312" s="21">
        <v>4.3999999999999997E-2</v>
      </c>
      <c r="AE312" s="16"/>
      <c r="AG312" s="21"/>
      <c r="AH312" s="16"/>
      <c r="AI312" s="17">
        <v>10.158899999999999</v>
      </c>
      <c r="AJ312" s="17">
        <v>3.0800000000000001E-2</v>
      </c>
      <c r="AK312" s="21">
        <v>0.48620000000000002</v>
      </c>
      <c r="AL312" s="16"/>
      <c r="AN312" s="21"/>
    </row>
    <row r="313" spans="1:40" s="17" customFormat="1" x14ac:dyDescent="0.35">
      <c r="A313" s="161"/>
      <c r="B313" s="17">
        <v>331</v>
      </c>
      <c r="C313" s="45">
        <v>43523</v>
      </c>
      <c r="D313" s="17" t="s">
        <v>90</v>
      </c>
      <c r="F313" s="17">
        <v>1086</v>
      </c>
      <c r="G313" s="17">
        <v>3</v>
      </c>
      <c r="H313" s="17">
        <v>130</v>
      </c>
      <c r="I313" s="17">
        <v>1</v>
      </c>
      <c r="J313" s="17">
        <v>5000</v>
      </c>
      <c r="K313" s="17">
        <v>65</v>
      </c>
      <c r="L313" s="17">
        <v>1</v>
      </c>
      <c r="M313" s="17">
        <f>(153.5+172+145+146.5+167.5+185)-(142.5+152.5+135.5+136.5+162.5+180)</f>
        <v>60</v>
      </c>
      <c r="R313" s="17">
        <f t="shared" si="190"/>
        <v>0.38589684786237705</v>
      </c>
      <c r="S313" s="17">
        <f t="shared" si="191"/>
        <v>127.28206129055523</v>
      </c>
      <c r="T313" s="17">
        <f t="shared" si="192"/>
        <v>8.0631170048315539</v>
      </c>
      <c r="U313" s="91">
        <f t="shared" si="187"/>
        <v>0.9307011585900048</v>
      </c>
      <c r="V313" s="91">
        <f t="shared" si="188"/>
        <v>1</v>
      </c>
      <c r="W313" s="91">
        <f t="shared" si="189"/>
        <v>0.8724804607157548</v>
      </c>
      <c r="X313" s="17">
        <v>1530.5</v>
      </c>
      <c r="Y313" s="17">
        <v>1311</v>
      </c>
      <c r="Z313" s="17">
        <f t="shared" si="183"/>
        <v>0.14341718392682135</v>
      </c>
      <c r="AA313" s="16"/>
      <c r="AB313" s="17">
        <v>0.70399999999999996</v>
      </c>
      <c r="AC313" s="17">
        <v>0</v>
      </c>
      <c r="AD313" s="21">
        <v>6.2E-2</v>
      </c>
      <c r="AE313" s="16"/>
      <c r="AG313" s="21"/>
      <c r="AH313" s="16"/>
      <c r="AI313" s="17">
        <v>10.158899999999999</v>
      </c>
      <c r="AJ313" s="17">
        <v>3.0800000000000001E-2</v>
      </c>
      <c r="AK313" s="21">
        <v>0.48620000000000002</v>
      </c>
      <c r="AL313" s="16"/>
      <c r="AN313" s="21"/>
    </row>
    <row r="314" spans="1:40" s="17" customFormat="1" x14ac:dyDescent="0.35">
      <c r="A314" s="161"/>
      <c r="B314" s="17">
        <v>332</v>
      </c>
      <c r="C314" s="45">
        <v>43523</v>
      </c>
      <c r="D314" s="17" t="s">
        <v>90</v>
      </c>
      <c r="F314" s="17">
        <v>1086</v>
      </c>
      <c r="G314" s="17">
        <v>4</v>
      </c>
      <c r="H314" s="17">
        <v>105</v>
      </c>
      <c r="I314" s="17">
        <v>2</v>
      </c>
      <c r="J314" s="17">
        <v>5000</v>
      </c>
      <c r="K314" s="17">
        <v>65</v>
      </c>
      <c r="L314" s="17">
        <v>1</v>
      </c>
      <c r="M314" s="17">
        <f>(157.5+160+162.5+180)-(156.5+159+137+152.5)</f>
        <v>55</v>
      </c>
      <c r="R314" s="17">
        <f t="shared" si="190"/>
        <v>0.35110064754577652</v>
      </c>
      <c r="S314" s="17">
        <f t="shared" si="191"/>
        <v>115.80507689457106</v>
      </c>
      <c r="T314" s="17">
        <f t="shared" si="192"/>
        <v>7.3360682195655871</v>
      </c>
      <c r="U314" s="91">
        <f t="shared" si="187"/>
        <v>0.92144818828810204</v>
      </c>
      <c r="V314" s="91">
        <f t="shared" si="188"/>
        <v>1</v>
      </c>
      <c r="W314" s="91">
        <f t="shared" si="189"/>
        <v>0.85396955985191281</v>
      </c>
      <c r="X314" s="17">
        <v>1542</v>
      </c>
      <c r="Y314" s="17">
        <v>1311.5</v>
      </c>
      <c r="Z314" s="17">
        <f t="shared" si="183"/>
        <v>0.14948119325551235</v>
      </c>
      <c r="AA314" s="16"/>
      <c r="AB314" s="17">
        <v>0.79800000000000004</v>
      </c>
      <c r="AC314" s="17">
        <v>0</v>
      </c>
      <c r="AD314" s="21">
        <v>7.0999999999999994E-2</v>
      </c>
      <c r="AE314" s="16"/>
      <c r="AG314" s="21"/>
      <c r="AH314" s="16"/>
      <c r="AI314" s="17">
        <v>10.158899999999999</v>
      </c>
      <c r="AJ314" s="17">
        <v>3.0800000000000001E-2</v>
      </c>
      <c r="AK314" s="21">
        <v>0.48620000000000002</v>
      </c>
      <c r="AL314" s="16"/>
      <c r="AN314" s="21"/>
    </row>
    <row r="315" spans="1:40" s="17" customFormat="1" x14ac:dyDescent="0.35">
      <c r="A315" s="161"/>
      <c r="B315" s="17">
        <v>333</v>
      </c>
      <c r="C315" s="38" t="s">
        <v>201</v>
      </c>
      <c r="D315" s="17" t="s">
        <v>90</v>
      </c>
      <c r="F315" s="17">
        <v>1086</v>
      </c>
      <c r="G315" s="17">
        <v>5</v>
      </c>
      <c r="H315" s="17">
        <v>100</v>
      </c>
      <c r="I315" s="17">
        <v>1</v>
      </c>
      <c r="J315" s="17">
        <v>5000</v>
      </c>
      <c r="K315" s="17">
        <v>65</v>
      </c>
      <c r="L315" s="17">
        <v>1</v>
      </c>
      <c r="M315" s="17">
        <f>(156.5+159)-(129+130.5)</f>
        <v>56</v>
      </c>
      <c r="R315" s="17">
        <f t="shared" si="190"/>
        <v>0.35748429568297246</v>
      </c>
      <c r="S315" s="17">
        <f t="shared" si="191"/>
        <v>117.91062374719962</v>
      </c>
      <c r="T315" s="17">
        <f t="shared" si="192"/>
        <v>7.4694512781031435</v>
      </c>
      <c r="U315" s="91">
        <f t="shared" si="187"/>
        <v>0.90441878549842991</v>
      </c>
      <c r="V315" s="91">
        <f t="shared" si="188"/>
        <v>1</v>
      </c>
      <c r="W315" s="91">
        <f t="shared" si="189"/>
        <v>0.81489099136157961</v>
      </c>
      <c r="X315" s="17">
        <v>1542</v>
      </c>
      <c r="Y315" s="17">
        <v>1303.5</v>
      </c>
      <c r="Z315" s="17">
        <f t="shared" si="183"/>
        <v>0.15466926070038911</v>
      </c>
      <c r="AA315" s="16"/>
      <c r="AB315" s="17">
        <v>0.97099999999999997</v>
      </c>
      <c r="AC315" s="17">
        <v>0</v>
      </c>
      <c r="AD315" s="118">
        <v>0.09</v>
      </c>
      <c r="AE315" s="16"/>
      <c r="AG315" s="21"/>
      <c r="AH315" s="16"/>
      <c r="AI315" s="17">
        <v>10.158899999999999</v>
      </c>
      <c r="AJ315" s="17">
        <v>3.0800000000000001E-2</v>
      </c>
      <c r="AK315" s="21">
        <v>0.48620000000000002</v>
      </c>
      <c r="AL315" s="16"/>
      <c r="AN315" s="21"/>
    </row>
    <row r="316" spans="1:40" s="17" customFormat="1" x14ac:dyDescent="0.35">
      <c r="A316" s="161"/>
      <c r="B316" s="17">
        <v>334</v>
      </c>
      <c r="C316" s="38" t="s">
        <v>202</v>
      </c>
      <c r="D316" s="17" t="s">
        <v>90</v>
      </c>
      <c r="F316" s="17">
        <v>1086</v>
      </c>
      <c r="G316" s="17">
        <v>6</v>
      </c>
      <c r="H316" s="17">
        <v>100</v>
      </c>
      <c r="I316" s="17">
        <v>2</v>
      </c>
      <c r="J316" s="17">
        <v>5000</v>
      </c>
      <c r="K316" s="17">
        <v>65</v>
      </c>
      <c r="L316" s="17">
        <v>1</v>
      </c>
      <c r="M316" s="17">
        <f>(161.5+170)-(131.5+139.5)</f>
        <v>60.5</v>
      </c>
      <c r="R316" s="17">
        <f t="shared" si="190"/>
        <v>0.3868378813687211</v>
      </c>
      <c r="S316" s="17">
        <f t="shared" si="191"/>
        <v>127.59244652716558</v>
      </c>
      <c r="T316" s="17">
        <f t="shared" si="192"/>
        <v>8.0827794180104906</v>
      </c>
      <c r="U316" s="91">
        <f t="shared" si="187"/>
        <v>0.9051078364783588</v>
      </c>
      <c r="V316" s="91">
        <f t="shared" si="188"/>
        <v>1</v>
      </c>
      <c r="W316" s="91">
        <f t="shared" si="189"/>
        <v>0.8190045248868778</v>
      </c>
      <c r="X316" s="17">
        <v>1539.5</v>
      </c>
      <c r="Y316" s="17">
        <v>1378.5</v>
      </c>
      <c r="Z316" s="17">
        <f t="shared" si="183"/>
        <v>0.1045794088989932</v>
      </c>
      <c r="AA316" s="16"/>
      <c r="AB316" s="17">
        <v>0.96399999999999997</v>
      </c>
      <c r="AC316" s="17">
        <v>0</v>
      </c>
      <c r="AD316" s="21">
        <v>8.7999999999999995E-2</v>
      </c>
      <c r="AE316" s="16"/>
      <c r="AG316" s="21"/>
      <c r="AH316" s="16"/>
      <c r="AI316" s="17">
        <v>10.158899999999999</v>
      </c>
      <c r="AJ316" s="17">
        <v>3.0800000000000001E-2</v>
      </c>
      <c r="AK316" s="21">
        <v>0.48620000000000002</v>
      </c>
      <c r="AL316" s="16"/>
      <c r="AN316" s="21"/>
    </row>
    <row r="317" spans="1:40" s="17" customFormat="1" x14ac:dyDescent="0.35">
      <c r="A317" s="161"/>
      <c r="B317" s="17">
        <v>335</v>
      </c>
      <c r="C317" s="17" t="s">
        <v>203</v>
      </c>
      <c r="D317" s="17" t="s">
        <v>90</v>
      </c>
      <c r="F317" s="17">
        <v>1086</v>
      </c>
      <c r="G317" s="17">
        <v>7</v>
      </c>
      <c r="H317" s="17">
        <v>115</v>
      </c>
      <c r="I317" s="17">
        <v>1</v>
      </c>
      <c r="J317" s="17">
        <v>5000</v>
      </c>
      <c r="K317" s="17">
        <v>65</v>
      </c>
      <c r="L317" s="17">
        <v>1</v>
      </c>
      <c r="M317" s="17">
        <f>(161.5+173.5+166+165)-(146.5+149+144+145.5)</f>
        <v>81</v>
      </c>
      <c r="R317" s="17">
        <f t="shared" si="190"/>
        <v>0.5179151800143208</v>
      </c>
      <c r="S317" s="17">
        <f t="shared" si="191"/>
        <v>170.82625072232085</v>
      </c>
      <c r="T317" s="17">
        <f t="shared" si="192"/>
        <v>10.821572443947929</v>
      </c>
      <c r="U317" s="91">
        <f t="shared" si="187"/>
        <v>0.97578477984821188</v>
      </c>
      <c r="V317" s="91">
        <f t="shared" si="188"/>
        <v>1</v>
      </c>
      <c r="W317" s="91">
        <f t="shared" si="189"/>
        <v>0.9526943644590703</v>
      </c>
      <c r="X317" s="17">
        <v>1539.5</v>
      </c>
      <c r="Y317" s="17">
        <v>1280</v>
      </c>
      <c r="Z317" s="17">
        <f t="shared" si="183"/>
        <v>0.16856122117570638</v>
      </c>
      <c r="AA317" s="16"/>
      <c r="AB317" s="17">
        <v>0.246</v>
      </c>
      <c r="AC317" s="17">
        <v>0</v>
      </c>
      <c r="AD317" s="21">
        <v>2.3E-2</v>
      </c>
      <c r="AE317" s="16"/>
      <c r="AG317" s="21"/>
      <c r="AH317" s="16"/>
      <c r="AI317" s="17">
        <v>10.158899999999999</v>
      </c>
      <c r="AJ317" s="17">
        <v>3.0800000000000001E-2</v>
      </c>
      <c r="AK317" s="21">
        <v>0.48620000000000002</v>
      </c>
      <c r="AL317" s="16"/>
      <c r="AN317" s="21"/>
    </row>
    <row r="318" spans="1:40" s="17" customFormat="1" x14ac:dyDescent="0.35">
      <c r="A318" s="161"/>
      <c r="B318" s="17">
        <v>336</v>
      </c>
      <c r="C318" s="38" t="s">
        <v>203</v>
      </c>
      <c r="D318" s="17" t="s">
        <v>90</v>
      </c>
      <c r="F318" s="17">
        <v>1086</v>
      </c>
      <c r="G318" s="17">
        <v>8</v>
      </c>
      <c r="H318" s="17">
        <v>125</v>
      </c>
      <c r="I318" s="17">
        <v>2</v>
      </c>
      <c r="J318" s="17">
        <v>5000</v>
      </c>
      <c r="K318" s="17">
        <v>65</v>
      </c>
      <c r="L318" s="17">
        <v>1</v>
      </c>
      <c r="M318" s="17">
        <f>(146.5+149.5+144+145.5+170+180.5)-(143.5+145+136+137.5+151+163)</f>
        <v>60</v>
      </c>
      <c r="R318" s="17">
        <f t="shared" si="190"/>
        <v>0.38289473300056281</v>
      </c>
      <c r="S318" s="17">
        <f t="shared" si="191"/>
        <v>126.29186048959144</v>
      </c>
      <c r="T318" s="17">
        <f t="shared" si="192"/>
        <v>8.000389352281811</v>
      </c>
      <c r="U318" s="91">
        <f t="shared" si="187"/>
        <v>0.97578477984821188</v>
      </c>
      <c r="V318" s="91">
        <f t="shared" si="188"/>
        <v>1</v>
      </c>
      <c r="W318" s="91">
        <f t="shared" si="189"/>
        <v>0.94446729740847379</v>
      </c>
      <c r="X318" s="17">
        <v>1542.5</v>
      </c>
      <c r="Y318" s="17">
        <v>1306</v>
      </c>
      <c r="Z318" s="17">
        <f t="shared" si="183"/>
        <v>0.15332252836304705</v>
      </c>
      <c r="AA318" s="16"/>
      <c r="AB318" s="17">
        <v>0.246</v>
      </c>
      <c r="AC318" s="17">
        <v>0</v>
      </c>
      <c r="AD318" s="21">
        <v>2.7E-2</v>
      </c>
      <c r="AE318" s="16"/>
      <c r="AG318" s="21"/>
      <c r="AH318" s="16"/>
      <c r="AI318" s="17">
        <v>10.158899999999999</v>
      </c>
      <c r="AJ318" s="17">
        <v>3.0800000000000001E-2</v>
      </c>
      <c r="AK318" s="21">
        <v>0.48620000000000002</v>
      </c>
      <c r="AL318" s="16"/>
      <c r="AN318" s="21"/>
    </row>
    <row r="319" spans="1:40" s="163" customFormat="1" ht="15" thickBot="1" x14ac:dyDescent="0.4">
      <c r="A319" s="162"/>
      <c r="B319" s="163">
        <v>337</v>
      </c>
      <c r="C319" s="164" t="s">
        <v>203</v>
      </c>
      <c r="D319" s="163" t="s">
        <v>90</v>
      </c>
      <c r="F319" s="163">
        <v>1086</v>
      </c>
      <c r="G319" s="163">
        <v>9</v>
      </c>
      <c r="H319" s="163">
        <v>100</v>
      </c>
      <c r="I319" s="163">
        <v>1</v>
      </c>
      <c r="J319" s="163">
        <v>5000</v>
      </c>
      <c r="K319" s="163">
        <v>65</v>
      </c>
      <c r="L319" s="163">
        <v>1</v>
      </c>
      <c r="M319" s="163">
        <f>(151+162.5+173.5+183)-(139+150+156+165)</f>
        <v>60</v>
      </c>
      <c r="R319" s="163">
        <f t="shared" si="190"/>
        <v>0.40082465263207878</v>
      </c>
      <c r="S319" s="163">
        <f t="shared" si="191"/>
        <v>132.20576505272805</v>
      </c>
      <c r="T319" s="163">
        <f t="shared" si="192"/>
        <v>8.3750258404443123</v>
      </c>
      <c r="U319" s="165">
        <f t="shared" si="187"/>
        <v>0.83295435529437245</v>
      </c>
      <c r="V319" s="165">
        <f t="shared" si="188"/>
        <v>1</v>
      </c>
      <c r="W319" s="165">
        <f t="shared" si="189"/>
        <v>0.73262032085561501</v>
      </c>
      <c r="X319" s="163">
        <v>1473.5</v>
      </c>
      <c r="Y319" s="163">
        <v>177</v>
      </c>
      <c r="Z319" s="163">
        <f t="shared" si="183"/>
        <v>0.87987784187309126</v>
      </c>
      <c r="AA319" s="167"/>
      <c r="AB319" s="163">
        <v>1.6970000000000001</v>
      </c>
      <c r="AC319" s="163">
        <v>0</v>
      </c>
      <c r="AD319" s="168">
        <v>0.13</v>
      </c>
      <c r="AE319" s="167"/>
      <c r="AG319" s="168"/>
      <c r="AH319" s="167"/>
      <c r="AI319" s="163">
        <v>10.158899999999999</v>
      </c>
      <c r="AJ319" s="163">
        <v>3.0800000000000001E-2</v>
      </c>
      <c r="AK319" s="168">
        <v>0.48620000000000002</v>
      </c>
      <c r="AL319" s="167"/>
      <c r="AN319" s="168"/>
    </row>
    <row r="320" spans="1:40" s="155" customFormat="1" x14ac:dyDescent="0.35">
      <c r="A320" s="154"/>
      <c r="B320" s="155">
        <v>338</v>
      </c>
      <c r="C320" s="155" t="s">
        <v>204</v>
      </c>
      <c r="D320" s="155" t="s">
        <v>90</v>
      </c>
      <c r="F320" s="155">
        <v>1082</v>
      </c>
      <c r="G320" s="155">
        <v>1</v>
      </c>
      <c r="H320" s="155">
        <v>100</v>
      </c>
      <c r="I320" s="155">
        <v>1</v>
      </c>
      <c r="J320" s="155">
        <v>5000</v>
      </c>
      <c r="K320" s="155">
        <v>65</v>
      </c>
      <c r="L320" s="155">
        <v>1</v>
      </c>
      <c r="M320" s="155">
        <f>(157.5+178.5+158+172)-(152.5+176.5+134+148)</f>
        <v>55</v>
      </c>
      <c r="R320" s="155">
        <f t="shared" si="190"/>
        <v>0.40817950161134425</v>
      </c>
      <c r="S320" s="155">
        <f t="shared" si="191"/>
        <v>180.99845328594463</v>
      </c>
      <c r="T320" s="155">
        <f t="shared" si="192"/>
        <v>26.395607770866931</v>
      </c>
      <c r="U320" s="157">
        <f t="shared" si="187"/>
        <v>0.95231958762886593</v>
      </c>
      <c r="V320" s="157">
        <f t="shared" si="188"/>
        <v>1</v>
      </c>
      <c r="W320" s="157">
        <f t="shared" si="189"/>
        <v>1</v>
      </c>
      <c r="X320" s="155">
        <v>1447</v>
      </c>
      <c r="Y320" s="155">
        <v>1240</v>
      </c>
      <c r="Z320" s="155">
        <f t="shared" si="183"/>
        <v>0.14305459571527301</v>
      </c>
      <c r="AB320" s="155">
        <v>0.44400000000000001</v>
      </c>
      <c r="AC320" s="155">
        <v>0</v>
      </c>
      <c r="AD320" s="155">
        <v>0</v>
      </c>
      <c r="AI320" s="155">
        <v>9.3119999999999994</v>
      </c>
      <c r="AJ320" s="155">
        <v>2.1000000000000001E-2</v>
      </c>
      <c r="AK320" s="155">
        <v>0.14399999999999999</v>
      </c>
    </row>
    <row r="321" spans="1:37" s="17" customFormat="1" x14ac:dyDescent="0.35">
      <c r="A321" s="161"/>
      <c r="B321" s="17">
        <v>339</v>
      </c>
      <c r="C321" s="38" t="s">
        <v>204</v>
      </c>
      <c r="D321" s="17" t="s">
        <v>90</v>
      </c>
      <c r="F321" s="17">
        <v>1082</v>
      </c>
      <c r="G321" s="17">
        <v>2</v>
      </c>
      <c r="H321" s="17">
        <v>110</v>
      </c>
      <c r="I321" s="17">
        <v>2</v>
      </c>
      <c r="J321" s="17">
        <v>5000</v>
      </c>
      <c r="K321" s="17">
        <v>65</v>
      </c>
      <c r="L321" s="17">
        <v>1</v>
      </c>
      <c r="M321" s="17">
        <f>(152.5+176.5)-(125.5+148)</f>
        <v>55.5</v>
      </c>
      <c r="R321" s="17">
        <f t="shared" si="190"/>
        <v>0.42359996776060788</v>
      </c>
      <c r="S321" s="17">
        <f t="shared" si="191"/>
        <v>187.83632856127525</v>
      </c>
      <c r="T321" s="17">
        <f t="shared" si="192"/>
        <v>27.392797915185977</v>
      </c>
      <c r="U321" s="91">
        <f t="shared" si="187"/>
        <v>0.88745704467353947</v>
      </c>
      <c r="V321" s="91">
        <f t="shared" si="188"/>
        <v>1</v>
      </c>
      <c r="W321" s="91">
        <f t="shared" si="189"/>
        <v>0.71527777777777768</v>
      </c>
      <c r="X321" s="17">
        <v>1407</v>
      </c>
      <c r="Y321" s="17">
        <v>1238</v>
      </c>
      <c r="Z321" s="17">
        <f t="shared" si="183"/>
        <v>0.12011371712864249</v>
      </c>
      <c r="AB321" s="17">
        <v>1.048</v>
      </c>
      <c r="AC321" s="17">
        <v>0</v>
      </c>
      <c r="AD321" s="17">
        <v>4.1000000000000002E-2</v>
      </c>
      <c r="AI321" s="17">
        <v>9.3119999999999994</v>
      </c>
      <c r="AJ321" s="17">
        <v>2.1000000000000001E-2</v>
      </c>
      <c r="AK321" s="17">
        <v>0.14399999999999999</v>
      </c>
    </row>
    <row r="322" spans="1:37" s="17" customFormat="1" x14ac:dyDescent="0.35">
      <c r="A322" s="161"/>
      <c r="B322" s="17">
        <v>340</v>
      </c>
      <c r="C322" s="38" t="s">
        <v>204</v>
      </c>
      <c r="D322" s="17" t="s">
        <v>90</v>
      </c>
      <c r="F322" s="17">
        <v>1082</v>
      </c>
      <c r="G322" s="17">
        <v>3</v>
      </c>
      <c r="H322" s="17">
        <v>100</v>
      </c>
      <c r="I322" s="17">
        <v>1</v>
      </c>
      <c r="J322" s="17">
        <v>5000</v>
      </c>
      <c r="K322" s="17">
        <v>65</v>
      </c>
      <c r="L322" s="17">
        <v>1</v>
      </c>
      <c r="M322" s="17">
        <f>(172.5+185.5)-(143+157)</f>
        <v>58</v>
      </c>
      <c r="R322" s="17">
        <f t="shared" si="190"/>
        <v>0.44489445262641142</v>
      </c>
      <c r="S322" s="17">
        <f t="shared" si="191"/>
        <v>197.27891156462582</v>
      </c>
      <c r="T322" s="17">
        <f t="shared" si="192"/>
        <v>28.769841269841269</v>
      </c>
      <c r="U322" s="91">
        <f t="shared" si="187"/>
        <v>0.96091065292096212</v>
      </c>
      <c r="V322" s="91">
        <f t="shared" si="188"/>
        <v>1</v>
      </c>
      <c r="W322" s="91">
        <f t="shared" si="189"/>
        <v>1</v>
      </c>
      <c r="X322" s="17">
        <v>1400</v>
      </c>
      <c r="Y322" s="17">
        <v>1215.5</v>
      </c>
      <c r="Z322" s="17">
        <f t="shared" si="183"/>
        <v>0.13178571428571428</v>
      </c>
      <c r="AB322" s="17">
        <v>0.36399999999999999</v>
      </c>
      <c r="AC322" s="17">
        <v>0</v>
      </c>
      <c r="AD322" s="17">
        <v>0</v>
      </c>
      <c r="AI322" s="17">
        <v>9.3119999999999994</v>
      </c>
      <c r="AJ322" s="17">
        <v>2.1000000000000001E-2</v>
      </c>
      <c r="AK322" s="17">
        <v>0.14399999999999999</v>
      </c>
    </row>
    <row r="323" spans="1:37" s="17" customFormat="1" x14ac:dyDescent="0.35">
      <c r="A323" s="161"/>
      <c r="B323" s="17">
        <v>341</v>
      </c>
      <c r="C323" s="38" t="s">
        <v>204</v>
      </c>
      <c r="D323" s="17" t="s">
        <v>90</v>
      </c>
      <c r="F323" s="17">
        <v>1082</v>
      </c>
      <c r="G323" s="17">
        <v>4</v>
      </c>
      <c r="H323" s="17">
        <v>100</v>
      </c>
      <c r="I323" s="17">
        <v>2</v>
      </c>
      <c r="J323" s="17">
        <v>5000</v>
      </c>
      <c r="K323" s="17">
        <v>65</v>
      </c>
      <c r="L323" s="17">
        <v>1</v>
      </c>
      <c r="M323" s="17">
        <f>(158+166.5)-(128.5+138)</f>
        <v>58</v>
      </c>
      <c r="R323" s="17">
        <f t="shared" si="190"/>
        <v>0.44268104738946412</v>
      </c>
      <c r="S323" s="17">
        <f t="shared" si="191"/>
        <v>196.29742444241379</v>
      </c>
      <c r="T323" s="17">
        <f t="shared" si="192"/>
        <v>28.626707731185345</v>
      </c>
      <c r="U323" s="91">
        <f t="shared" si="187"/>
        <v>0.9637027491408936</v>
      </c>
      <c r="V323" s="91">
        <f t="shared" si="188"/>
        <v>1</v>
      </c>
      <c r="W323" s="91">
        <f t="shared" si="189"/>
        <v>1</v>
      </c>
      <c r="X323" s="17">
        <v>1407</v>
      </c>
      <c r="Y323" s="17">
        <v>1209</v>
      </c>
      <c r="Z323" s="17">
        <f t="shared" si="183"/>
        <v>0.14072494669509594</v>
      </c>
      <c r="AB323" s="17">
        <v>0.33800000000000002</v>
      </c>
      <c r="AC323" s="17">
        <v>0</v>
      </c>
      <c r="AD323" s="17">
        <v>0</v>
      </c>
      <c r="AI323" s="17">
        <v>9.3119999999999994</v>
      </c>
      <c r="AJ323" s="17">
        <v>2.1000000000000001E-2</v>
      </c>
      <c r="AK323" s="17">
        <v>0.14399999999999999</v>
      </c>
    </row>
    <row r="324" spans="1:37" s="17" customFormat="1" x14ac:dyDescent="0.35">
      <c r="A324" s="161"/>
      <c r="B324" s="17">
        <v>342</v>
      </c>
      <c r="C324" s="38" t="s">
        <v>204</v>
      </c>
      <c r="D324" s="17" t="s">
        <v>90</v>
      </c>
      <c r="F324" s="17">
        <v>1082</v>
      </c>
      <c r="G324" s="17">
        <v>5</v>
      </c>
      <c r="H324" s="17">
        <v>95</v>
      </c>
      <c r="I324" s="17">
        <v>1</v>
      </c>
      <c r="J324" s="17">
        <v>5000</v>
      </c>
      <c r="K324" s="17">
        <v>65</v>
      </c>
      <c r="L324" s="17">
        <v>1</v>
      </c>
      <c r="M324" s="17">
        <f>(162.5+188.5)-(135.5+160.5)</f>
        <v>55</v>
      </c>
      <c r="R324" s="17">
        <f t="shared" si="190"/>
        <v>0.4055171567673293</v>
      </c>
      <c r="S324" s="17">
        <f t="shared" si="191"/>
        <v>179.81789351511287</v>
      </c>
      <c r="T324" s="17">
        <f t="shared" si="192"/>
        <v>26.223442804287298</v>
      </c>
      <c r="U324" s="91">
        <f t="shared" si="187"/>
        <v>0.93438573883161502</v>
      </c>
      <c r="V324" s="91">
        <f t="shared" si="188"/>
        <v>1</v>
      </c>
      <c r="W324" s="91">
        <f t="shared" si="189"/>
        <v>1</v>
      </c>
      <c r="X324" s="17">
        <v>1456.5</v>
      </c>
      <c r="Y324" s="17">
        <v>1258</v>
      </c>
      <c r="Z324" s="17">
        <f t="shared" si="183"/>
        <v>0.13628561620322688</v>
      </c>
      <c r="AB324" s="17">
        <v>0.61099999999999999</v>
      </c>
      <c r="AC324" s="17">
        <v>0</v>
      </c>
      <c r="AD324" s="17">
        <v>0</v>
      </c>
      <c r="AI324" s="17">
        <v>9.3119999999999994</v>
      </c>
      <c r="AJ324" s="17">
        <v>2.1000000000000001E-2</v>
      </c>
      <c r="AK324" s="17">
        <v>0.14399999999999999</v>
      </c>
    </row>
    <row r="325" spans="1:37" s="163" customFormat="1" ht="15" thickBot="1" x14ac:dyDescent="0.4">
      <c r="A325" s="162"/>
      <c r="B325" s="163">
        <v>343</v>
      </c>
      <c r="C325" s="164" t="s">
        <v>204</v>
      </c>
      <c r="D325" s="163" t="s">
        <v>90</v>
      </c>
      <c r="F325" s="163">
        <v>1082</v>
      </c>
      <c r="G325" s="163">
        <v>6</v>
      </c>
      <c r="H325" s="163">
        <v>110</v>
      </c>
      <c r="I325" s="163">
        <v>2</v>
      </c>
      <c r="J325" s="163">
        <v>5000</v>
      </c>
      <c r="K325" s="163">
        <v>65</v>
      </c>
      <c r="L325" s="163">
        <v>1</v>
      </c>
      <c r="M325" s="163">
        <f>(161.5+162)-(130+128)</f>
        <v>65.5</v>
      </c>
      <c r="R325" s="163">
        <f t="shared" si="190"/>
        <v>0.66357874602865852</v>
      </c>
      <c r="S325" s="163">
        <f t="shared" si="191"/>
        <v>294.24977538185084</v>
      </c>
      <c r="T325" s="163">
        <f t="shared" si="192"/>
        <v>42.911425576519925</v>
      </c>
      <c r="U325" s="165">
        <f t="shared" si="187"/>
        <v>0.96058848797250873</v>
      </c>
      <c r="V325" s="165">
        <f t="shared" si="188"/>
        <v>1</v>
      </c>
      <c r="W325" s="165">
        <f t="shared" si="189"/>
        <v>1</v>
      </c>
      <c r="X325" s="163">
        <v>1060</v>
      </c>
      <c r="Y325" s="163">
        <v>848</v>
      </c>
      <c r="Z325" s="163">
        <f t="shared" si="183"/>
        <v>0.19999999999999996</v>
      </c>
      <c r="AB325" s="163">
        <v>0.36699999999999999</v>
      </c>
      <c r="AC325" s="163">
        <v>0</v>
      </c>
      <c r="AD325" s="163">
        <v>0</v>
      </c>
      <c r="AI325" s="163">
        <v>9.3119999999999994</v>
      </c>
      <c r="AJ325" s="163">
        <v>2.1000000000000001E-2</v>
      </c>
      <c r="AK325" s="163">
        <v>0.14399999999999999</v>
      </c>
    </row>
    <row r="326" spans="1:37" s="155" customFormat="1" x14ac:dyDescent="0.35">
      <c r="A326" s="154"/>
      <c r="B326" s="155">
        <v>344</v>
      </c>
      <c r="C326" s="155" t="s">
        <v>205</v>
      </c>
      <c r="D326" s="155" t="s">
        <v>80</v>
      </c>
      <c r="F326" s="155">
        <v>1014</v>
      </c>
      <c r="G326" s="155">
        <v>1</v>
      </c>
      <c r="H326" s="155">
        <v>140</v>
      </c>
      <c r="I326" s="155">
        <v>1</v>
      </c>
      <c r="J326" s="155">
        <v>5000</v>
      </c>
      <c r="K326" s="155">
        <v>65</v>
      </c>
      <c r="L326" s="155">
        <v>1</v>
      </c>
      <c r="M326" s="155">
        <v>80</v>
      </c>
      <c r="R326" s="155">
        <f t="shared" si="190"/>
        <v>0.36152986060402781</v>
      </c>
      <c r="S326" s="155">
        <f t="shared" si="191"/>
        <v>113.13576999497961</v>
      </c>
      <c r="T326" s="155">
        <f t="shared" si="192"/>
        <v>14.294035456354951</v>
      </c>
      <c r="U326" s="157">
        <f t="shared" si="187"/>
        <v>0.95906989393527331</v>
      </c>
      <c r="V326" s="157">
        <f t="shared" si="188"/>
        <v>1</v>
      </c>
      <c r="W326" s="157">
        <f t="shared" si="189"/>
        <v>0.87903225806451613</v>
      </c>
      <c r="X326" s="155">
        <v>1504.5</v>
      </c>
      <c r="Y326" s="155">
        <v>1197</v>
      </c>
      <c r="Z326" s="155">
        <f t="shared" si="183"/>
        <v>0.20438683948155534</v>
      </c>
      <c r="AB326" s="155">
        <v>0.60199999999999998</v>
      </c>
      <c r="AC326" s="155">
        <v>0</v>
      </c>
      <c r="AD326" s="155">
        <v>4.4999999999999998E-2</v>
      </c>
      <c r="AI326" s="155">
        <v>14.708</v>
      </c>
      <c r="AJ326" s="155">
        <v>4.7E-2</v>
      </c>
      <c r="AK326" s="155">
        <v>0.372</v>
      </c>
    </row>
    <row r="327" spans="1:37" s="17" customFormat="1" x14ac:dyDescent="0.35">
      <c r="A327" s="161"/>
      <c r="B327" s="17">
        <v>345</v>
      </c>
      <c r="C327" s="17" t="s">
        <v>205</v>
      </c>
      <c r="D327" s="17" t="s">
        <v>80</v>
      </c>
      <c r="F327" s="17">
        <v>1014</v>
      </c>
      <c r="G327" s="17">
        <v>2</v>
      </c>
      <c r="H327" s="17">
        <v>140</v>
      </c>
      <c r="I327" s="17">
        <v>2</v>
      </c>
      <c r="J327" s="17">
        <v>5000</v>
      </c>
      <c r="K327" s="17">
        <v>65</v>
      </c>
      <c r="L327" s="17">
        <v>1</v>
      </c>
      <c r="M327" s="17">
        <v>80</v>
      </c>
      <c r="R327" s="17">
        <f t="shared" si="190"/>
        <v>0.37706875235962561</v>
      </c>
      <c r="S327" s="17">
        <f t="shared" si="191"/>
        <v>117.99845127032708</v>
      </c>
      <c r="T327" s="17">
        <f t="shared" si="192"/>
        <v>14.908406477702616</v>
      </c>
      <c r="U327" s="91">
        <f t="shared" si="187"/>
        <v>0.95410660864835461</v>
      </c>
      <c r="V327" s="91">
        <f t="shared" si="188"/>
        <v>1</v>
      </c>
      <c r="W327" s="91">
        <f t="shared" si="189"/>
        <v>0.88172043010752688</v>
      </c>
      <c r="X327" s="17">
        <v>1442.5</v>
      </c>
      <c r="Y327" s="17">
        <v>1139.5</v>
      </c>
      <c r="Z327" s="17">
        <f t="shared" si="183"/>
        <v>0.21005199306759104</v>
      </c>
      <c r="AB327" s="17">
        <v>0.67500000000000004</v>
      </c>
      <c r="AC327" s="17">
        <v>0</v>
      </c>
      <c r="AD327" s="17">
        <v>4.3999999999999997E-2</v>
      </c>
      <c r="AI327" s="17">
        <v>14.708</v>
      </c>
      <c r="AJ327" s="17">
        <v>4.7E-2</v>
      </c>
      <c r="AK327" s="17">
        <v>0.372</v>
      </c>
    </row>
    <row r="328" spans="1:37" s="17" customFormat="1" x14ac:dyDescent="0.35">
      <c r="A328" s="161"/>
      <c r="B328" s="17">
        <v>346</v>
      </c>
      <c r="C328" s="17" t="s">
        <v>205</v>
      </c>
      <c r="D328" s="17" t="s">
        <v>80</v>
      </c>
      <c r="F328" s="17">
        <v>1014</v>
      </c>
      <c r="G328" s="17">
        <v>3</v>
      </c>
      <c r="H328" s="17">
        <v>150</v>
      </c>
      <c r="I328" s="17">
        <v>1</v>
      </c>
      <c r="J328" s="17">
        <v>5000</v>
      </c>
      <c r="K328" s="17">
        <v>65</v>
      </c>
      <c r="L328" s="17">
        <v>1</v>
      </c>
      <c r="M328" s="17">
        <f>(203+197.5+157+160.5)-(183+173.5+138.5+142)</f>
        <v>81</v>
      </c>
      <c r="R328" s="17">
        <f t="shared" si="190"/>
        <v>0.37850219671460095</v>
      </c>
      <c r="S328" s="17">
        <f t="shared" si="191"/>
        <v>118.44702785698618</v>
      </c>
      <c r="T328" s="17">
        <f t="shared" si="192"/>
        <v>14.965081476554706</v>
      </c>
      <c r="U328" s="91">
        <f t="shared" si="187"/>
        <v>0.98205058471580098</v>
      </c>
      <c r="V328" s="91">
        <f t="shared" si="188"/>
        <v>1</v>
      </c>
      <c r="W328" s="91">
        <f t="shared" si="189"/>
        <v>0.94892473118279563</v>
      </c>
      <c r="X328" s="17">
        <v>1455</v>
      </c>
      <c r="Y328" s="17">
        <v>1133.5</v>
      </c>
      <c r="Z328" s="17">
        <f t="shared" si="183"/>
        <v>0.22096219931271477</v>
      </c>
      <c r="AB328" s="40">
        <v>0.26400000000000001</v>
      </c>
      <c r="AC328" s="17">
        <v>0</v>
      </c>
      <c r="AD328" s="17">
        <v>1.9E-2</v>
      </c>
      <c r="AI328" s="17">
        <v>14.708</v>
      </c>
      <c r="AJ328" s="17">
        <v>4.7E-2</v>
      </c>
      <c r="AK328" s="17">
        <v>0.372</v>
      </c>
    </row>
    <row r="329" spans="1:37" s="17" customFormat="1" x14ac:dyDescent="0.35">
      <c r="A329" s="161"/>
      <c r="B329" s="17">
        <v>347</v>
      </c>
      <c r="C329" s="17" t="s">
        <v>206</v>
      </c>
      <c r="D329" s="17" t="s">
        <v>80</v>
      </c>
      <c r="F329" s="17">
        <v>1014</v>
      </c>
      <c r="G329" s="17">
        <v>4</v>
      </c>
      <c r="H329" s="17">
        <v>165</v>
      </c>
      <c r="I329" s="17">
        <v>2</v>
      </c>
      <c r="J329" s="17">
        <v>5000</v>
      </c>
      <c r="K329" s="17">
        <v>65</v>
      </c>
      <c r="L329" s="17">
        <v>1</v>
      </c>
      <c r="M329" s="17">
        <v>90</v>
      </c>
      <c r="R329" s="17">
        <f t="shared" si="190"/>
        <v>0.4220081963369689</v>
      </c>
      <c r="S329" s="17">
        <f t="shared" si="191"/>
        <v>132.06162876008804</v>
      </c>
      <c r="T329" s="17">
        <f t="shared" si="192"/>
        <v>16.685205784204673</v>
      </c>
      <c r="U329" s="91">
        <f t="shared" si="187"/>
        <v>0.99578460701658966</v>
      </c>
      <c r="V329" s="91">
        <f t="shared" si="188"/>
        <v>1</v>
      </c>
      <c r="W329" s="91">
        <f t="shared" si="189"/>
        <v>0.9868279569892473</v>
      </c>
      <c r="X329" s="17">
        <v>1450</v>
      </c>
      <c r="Y329" s="17">
        <v>1125</v>
      </c>
      <c r="Z329" s="17">
        <f t="shared" si="183"/>
        <v>0.22413793103448276</v>
      </c>
      <c r="AB329" s="17">
        <v>6.2E-2</v>
      </c>
      <c r="AC329" s="17">
        <v>0</v>
      </c>
      <c r="AD329" s="17">
        <v>4.8999999999999998E-3</v>
      </c>
      <c r="AI329" s="17">
        <v>14.708</v>
      </c>
      <c r="AJ329" s="17">
        <v>4.7E-2</v>
      </c>
      <c r="AK329" s="17">
        <v>0.372</v>
      </c>
    </row>
    <row r="330" spans="1:37" s="17" customFormat="1" x14ac:dyDescent="0.35">
      <c r="A330" s="161"/>
      <c r="B330" s="17">
        <v>350</v>
      </c>
      <c r="C330" s="17" t="s">
        <v>207</v>
      </c>
      <c r="D330" s="17" t="s">
        <v>80</v>
      </c>
      <c r="F330" s="17">
        <v>1014</v>
      </c>
      <c r="G330" s="17">
        <v>7</v>
      </c>
      <c r="H330" s="17">
        <v>145</v>
      </c>
      <c r="I330" s="17">
        <v>1</v>
      </c>
      <c r="J330" s="17">
        <v>5000</v>
      </c>
      <c r="K330" s="17">
        <v>65</v>
      </c>
      <c r="L330" s="17">
        <v>1</v>
      </c>
      <c r="M330" s="17">
        <f>(170+154.5+167+168)-(160+137+140+142.5)</f>
        <v>80</v>
      </c>
      <c r="R330" s="17">
        <f t="shared" si="190"/>
        <v>0.36177031944047883</v>
      </c>
      <c r="S330" s="17">
        <f t="shared" si="191"/>
        <v>113.21101826235238</v>
      </c>
      <c r="T330" s="17">
        <f t="shared" si="192"/>
        <v>14.303542629920866</v>
      </c>
      <c r="U330" s="91">
        <f t="shared" si="187"/>
        <v>0.95947783519173235</v>
      </c>
      <c r="V330" s="91">
        <f t="shared" si="188"/>
        <v>1</v>
      </c>
      <c r="W330" s="91">
        <f t="shared" si="189"/>
        <v>0.88978494623655924</v>
      </c>
      <c r="X330" s="17">
        <v>1503.5</v>
      </c>
      <c r="Y330" s="17">
        <v>1172</v>
      </c>
      <c r="Z330" s="17">
        <f t="shared" si="183"/>
        <v>0.22048553375457269</v>
      </c>
      <c r="AB330" s="17">
        <v>0.59599999999999997</v>
      </c>
      <c r="AC330" s="17">
        <v>0</v>
      </c>
      <c r="AD330" s="17">
        <v>4.1000000000000002E-2</v>
      </c>
      <c r="AI330" s="17">
        <v>14.708</v>
      </c>
      <c r="AJ330" s="17">
        <v>4.7E-2</v>
      </c>
      <c r="AK330" s="17">
        <v>0.372</v>
      </c>
    </row>
    <row r="331" spans="1:37" s="163" customFormat="1" ht="15" thickBot="1" x14ac:dyDescent="0.4">
      <c r="A331" s="162"/>
      <c r="B331" s="163">
        <v>351</v>
      </c>
      <c r="C331" s="163" t="s">
        <v>207</v>
      </c>
      <c r="D331" s="163" t="s">
        <v>80</v>
      </c>
      <c r="F331" s="163">
        <v>1014</v>
      </c>
      <c r="G331" s="163">
        <v>8</v>
      </c>
      <c r="H331" s="163">
        <v>120</v>
      </c>
      <c r="I331" s="163">
        <v>2</v>
      </c>
      <c r="J331" s="163">
        <v>5000</v>
      </c>
      <c r="K331" s="163">
        <v>65</v>
      </c>
      <c r="L331" s="163">
        <v>1</v>
      </c>
      <c r="M331" s="163">
        <f>(163.5+184+170.5)-(136+163+149)</f>
        <v>70</v>
      </c>
      <c r="R331" s="163">
        <f t="shared" si="190"/>
        <v>0.42512859836437239</v>
      </c>
      <c r="S331" s="163">
        <f t="shared" si="191"/>
        <v>133.03811542006784</v>
      </c>
      <c r="T331" s="163">
        <f t="shared" si="192"/>
        <v>16.808579098772015</v>
      </c>
      <c r="U331" s="165">
        <f t="shared" si="187"/>
        <v>0.97749524068534133</v>
      </c>
      <c r="V331" s="165">
        <f t="shared" si="188"/>
        <v>1</v>
      </c>
      <c r="W331" s="165">
        <f t="shared" si="189"/>
        <v>0.91021505376344092</v>
      </c>
      <c r="X331" s="163">
        <v>1119.5</v>
      </c>
      <c r="Y331" s="163">
        <v>963</v>
      </c>
      <c r="Z331" s="163">
        <f t="shared" si="183"/>
        <v>0.13979455113890127</v>
      </c>
      <c r="AB331" s="163">
        <v>0.33100000000000002</v>
      </c>
      <c r="AC331" s="163">
        <v>0</v>
      </c>
      <c r="AD331" s="163">
        <v>3.3399999999999999E-2</v>
      </c>
      <c r="AI331" s="163">
        <v>14.708</v>
      </c>
      <c r="AJ331" s="163">
        <v>4.7E-2</v>
      </c>
      <c r="AK331" s="163">
        <v>0.372</v>
      </c>
    </row>
    <row r="332" spans="1:37" s="155" customFormat="1" x14ac:dyDescent="0.35">
      <c r="A332" s="154"/>
      <c r="B332" s="155">
        <v>352</v>
      </c>
      <c r="C332" s="155" t="s">
        <v>208</v>
      </c>
      <c r="D332" s="155" t="s">
        <v>90</v>
      </c>
      <c r="F332" s="155">
        <v>1019</v>
      </c>
      <c r="G332" s="155">
        <v>1</v>
      </c>
      <c r="H332" s="155">
        <v>125</v>
      </c>
      <c r="I332" s="155">
        <v>1</v>
      </c>
      <c r="J332" s="155">
        <v>5000</v>
      </c>
      <c r="K332" s="155">
        <v>65</v>
      </c>
      <c r="L332" s="155">
        <v>1</v>
      </c>
      <c r="M332" s="155">
        <f>(171.5+174+176+183.5)-(144+144+170+177)</f>
        <v>70</v>
      </c>
      <c r="R332" s="155">
        <f t="shared" si="190"/>
        <v>0.34982627627120372</v>
      </c>
      <c r="S332" s="155">
        <f t="shared" si="191"/>
        <v>145.67248662934676</v>
      </c>
      <c r="T332" s="155">
        <f t="shared" si="192"/>
        <v>17.675741055443751</v>
      </c>
      <c r="U332" s="157">
        <f t="shared" si="187"/>
        <v>0.99279562769128848</v>
      </c>
      <c r="V332" s="157">
        <f t="shared" si="188"/>
        <v>1</v>
      </c>
      <c r="W332" s="157">
        <f t="shared" si="189"/>
        <v>1</v>
      </c>
      <c r="X332" s="155">
        <v>1657</v>
      </c>
      <c r="Y332" s="155">
        <v>1381</v>
      </c>
      <c r="Z332" s="155">
        <f t="shared" si="183"/>
        <v>0.16656608328304168</v>
      </c>
      <c r="AB332" s="155">
        <v>8.6999999999999994E-2</v>
      </c>
      <c r="AC332" s="155">
        <v>0</v>
      </c>
      <c r="AD332" s="155">
        <v>0</v>
      </c>
      <c r="AI332" s="155">
        <v>12.076000000000001</v>
      </c>
      <c r="AJ332" s="155">
        <v>2.9000000000000001E-2</v>
      </c>
      <c r="AK332" s="155">
        <v>0.23899999999999999</v>
      </c>
    </row>
    <row r="333" spans="1:37" s="17" customFormat="1" x14ac:dyDescent="0.35">
      <c r="A333" s="161"/>
      <c r="B333" s="17">
        <v>354</v>
      </c>
      <c r="C333" s="38" t="s">
        <v>209</v>
      </c>
      <c r="D333" s="17" t="s">
        <v>90</v>
      </c>
      <c r="F333" s="17">
        <v>1019</v>
      </c>
      <c r="G333" s="17">
        <v>3</v>
      </c>
      <c r="H333" s="17">
        <v>125</v>
      </c>
      <c r="I333" s="17">
        <v>1</v>
      </c>
      <c r="J333" s="17">
        <v>5000</v>
      </c>
      <c r="K333" s="17">
        <v>65</v>
      </c>
      <c r="L333" s="17">
        <v>1</v>
      </c>
      <c r="M333" s="17">
        <v>70</v>
      </c>
      <c r="R333" s="17">
        <f t="shared" ref="R333:T338" si="193">IF(AND(X333&lt;&gt;0,AI333&lt;&gt;0,$M333&lt;&gt;0),$M333/($X333*(AI333/100)),"")</f>
        <v>0.36410938428478928</v>
      </c>
      <c r="S333" s="17">
        <f t="shared" ref="S333:S336" si="194">IF(AND(Y333&lt;&gt;0,AJ333&lt;&gt;0,$M333&lt;&gt;0),$M333/($X333*(AJ333/100)),"")</f>
        <v>151.62016981459021</v>
      </c>
      <c r="T333" s="17">
        <f t="shared" ref="T333:T336" si="195">IF(AND(Z333&lt;&gt;0,AK333&lt;&gt;0,$M333&lt;&gt;0),$M333/($X333*(AK333/100)),"")</f>
        <v>18.397426462858224</v>
      </c>
      <c r="U333" s="91">
        <f t="shared" si="187"/>
        <v>0.99412056972507457</v>
      </c>
      <c r="V333" s="91">
        <f t="shared" si="188"/>
        <v>1</v>
      </c>
      <c r="W333" s="91">
        <f t="shared" si="189"/>
        <v>0.66108786610878656</v>
      </c>
      <c r="X333" s="17">
        <v>1592</v>
      </c>
      <c r="Y333" s="17">
        <v>1322.5</v>
      </c>
      <c r="Z333" s="17">
        <f t="shared" si="183"/>
        <v>0.16928391959798994</v>
      </c>
      <c r="AB333" s="17">
        <v>7.0999999999999994E-2</v>
      </c>
      <c r="AC333" s="17">
        <v>0</v>
      </c>
      <c r="AD333" s="17">
        <v>8.1000000000000003E-2</v>
      </c>
      <c r="AI333" s="17">
        <v>12.076000000000001</v>
      </c>
      <c r="AJ333" s="17">
        <v>2.9000000000000001E-2</v>
      </c>
      <c r="AK333" s="17">
        <v>0.23899999999999999</v>
      </c>
    </row>
    <row r="334" spans="1:37" s="17" customFormat="1" x14ac:dyDescent="0.35">
      <c r="A334" s="161"/>
      <c r="B334" s="17">
        <v>355</v>
      </c>
      <c r="C334" s="38" t="s">
        <v>209</v>
      </c>
      <c r="D334" s="17" t="s">
        <v>90</v>
      </c>
      <c r="F334" s="17">
        <v>1019</v>
      </c>
      <c r="G334" s="17">
        <v>4</v>
      </c>
      <c r="H334" s="17">
        <v>115</v>
      </c>
      <c r="I334" s="17">
        <v>2</v>
      </c>
      <c r="J334" s="17">
        <v>5000</v>
      </c>
      <c r="K334" s="17">
        <v>65</v>
      </c>
      <c r="L334" s="17">
        <v>1</v>
      </c>
      <c r="M334" s="17">
        <f>(163+168+160+178.5)-(147+151+148+158.5)</f>
        <v>65</v>
      </c>
      <c r="R334" s="17">
        <f t="shared" si="193"/>
        <v>0.34218544261002626</v>
      </c>
      <c r="S334" s="17">
        <f t="shared" si="194"/>
        <v>142.49073810202336</v>
      </c>
      <c r="T334" s="17">
        <f t="shared" si="195"/>
        <v>17.289671150454723</v>
      </c>
      <c r="U334" s="91">
        <f t="shared" si="187"/>
        <v>0.97938058959920504</v>
      </c>
      <c r="V334" s="91">
        <f t="shared" si="188"/>
        <v>1</v>
      </c>
      <c r="W334" s="91">
        <f t="shared" si="189"/>
        <v>1</v>
      </c>
      <c r="X334" s="17">
        <v>1573</v>
      </c>
      <c r="Y334" s="17">
        <v>1336</v>
      </c>
      <c r="Z334" s="17">
        <f t="shared" si="183"/>
        <v>0.15066751430387793</v>
      </c>
      <c r="AB334" s="17">
        <v>0.249</v>
      </c>
      <c r="AC334" s="17">
        <v>0</v>
      </c>
      <c r="AD334" s="17">
        <v>0</v>
      </c>
      <c r="AI334" s="17">
        <v>12.076000000000001</v>
      </c>
      <c r="AJ334" s="17">
        <v>2.9000000000000001E-2</v>
      </c>
      <c r="AK334" s="17">
        <v>0.23899999999999999</v>
      </c>
    </row>
    <row r="335" spans="1:37" s="17" customFormat="1" x14ac:dyDescent="0.35">
      <c r="A335" s="161"/>
      <c r="B335" s="17">
        <v>356</v>
      </c>
      <c r="C335" s="38" t="s">
        <v>209</v>
      </c>
      <c r="D335" s="17" t="s">
        <v>90</v>
      </c>
      <c r="F335" s="17">
        <v>1019</v>
      </c>
      <c r="G335" s="17">
        <v>5</v>
      </c>
      <c r="H335" s="17">
        <v>115</v>
      </c>
      <c r="I335" s="17">
        <v>1</v>
      </c>
      <c r="J335" s="17">
        <v>5000</v>
      </c>
      <c r="K335" s="17">
        <v>65</v>
      </c>
      <c r="L335" s="17">
        <v>1</v>
      </c>
      <c r="M335" s="17">
        <f>(159.5+176+148+158.5)-(134.5+151.5+142+149)</f>
        <v>65</v>
      </c>
      <c r="R335" s="17">
        <f t="shared" si="193"/>
        <v>0.34681552914018776</v>
      </c>
      <c r="S335" s="17">
        <f t="shared" si="194"/>
        <v>144.41876999644509</v>
      </c>
      <c r="T335" s="17">
        <f t="shared" si="195"/>
        <v>17.523616443083295</v>
      </c>
      <c r="U335" s="91">
        <f t="shared" si="187"/>
        <v>0.97242464392182837</v>
      </c>
      <c r="V335" s="91">
        <f t="shared" si="188"/>
        <v>1</v>
      </c>
      <c r="W335" s="91">
        <f t="shared" si="189"/>
        <v>1</v>
      </c>
      <c r="X335" s="17">
        <v>1552</v>
      </c>
      <c r="Y335" s="17">
        <v>1287</v>
      </c>
      <c r="Z335" s="17">
        <f t="shared" si="183"/>
        <v>0.17074742268041232</v>
      </c>
      <c r="AB335" s="17">
        <v>0.33300000000000002</v>
      </c>
      <c r="AC335" s="17">
        <v>0</v>
      </c>
      <c r="AD335" s="17">
        <v>0</v>
      </c>
      <c r="AI335" s="17">
        <v>12.076000000000001</v>
      </c>
      <c r="AJ335" s="17">
        <v>2.9000000000000001E-2</v>
      </c>
      <c r="AK335" s="17">
        <v>0.23899999999999999</v>
      </c>
    </row>
    <row r="336" spans="1:37" s="163" customFormat="1" ht="15" thickBot="1" x14ac:dyDescent="0.4">
      <c r="A336" s="162"/>
      <c r="B336" s="163">
        <v>357</v>
      </c>
      <c r="C336" s="164" t="s">
        <v>209</v>
      </c>
      <c r="D336" s="163" t="s">
        <v>90</v>
      </c>
      <c r="F336" s="163">
        <v>1019</v>
      </c>
      <c r="G336" s="163">
        <v>6</v>
      </c>
      <c r="H336" s="163">
        <v>120</v>
      </c>
      <c r="I336" s="163">
        <v>2</v>
      </c>
      <c r="J336" s="163">
        <v>5000</v>
      </c>
      <c r="K336" s="163">
        <v>65</v>
      </c>
      <c r="L336" s="163">
        <v>1</v>
      </c>
      <c r="M336" s="163">
        <f>(134.5+151.5+153.5+156)-(129.5+146+126+128.5)</f>
        <v>65.5</v>
      </c>
      <c r="R336" s="163">
        <f t="shared" si="193"/>
        <v>0.37380988634124923</v>
      </c>
      <c r="S336" s="163">
        <f t="shared" si="194"/>
        <v>155.6595926709285</v>
      </c>
      <c r="T336" s="163">
        <f t="shared" si="195"/>
        <v>18.88756563789509</v>
      </c>
      <c r="U336" s="165">
        <f t="shared" si="187"/>
        <v>0.97772441205697247</v>
      </c>
      <c r="V336" s="165">
        <f t="shared" si="188"/>
        <v>1</v>
      </c>
      <c r="W336" s="165">
        <f t="shared" si="189"/>
        <v>1</v>
      </c>
      <c r="X336" s="163">
        <v>1451</v>
      </c>
      <c r="Y336" s="163">
        <v>1205</v>
      </c>
      <c r="Z336" s="163">
        <f t="shared" si="183"/>
        <v>0.16953824948311513</v>
      </c>
      <c r="AB336" s="163">
        <v>0.26900000000000002</v>
      </c>
      <c r="AC336" s="163">
        <v>0</v>
      </c>
      <c r="AD336" s="163">
        <v>0</v>
      </c>
      <c r="AI336" s="163">
        <v>12.076000000000001</v>
      </c>
      <c r="AJ336" s="163">
        <v>2.9000000000000001E-2</v>
      </c>
      <c r="AK336" s="163">
        <v>0.23899999999999999</v>
      </c>
    </row>
    <row r="337" spans="1:40" s="155" customFormat="1" x14ac:dyDescent="0.35">
      <c r="A337" s="154"/>
      <c r="B337" s="155">
        <v>358</v>
      </c>
      <c r="C337" s="155" t="s">
        <v>210</v>
      </c>
      <c r="D337" s="155" t="s">
        <v>90</v>
      </c>
      <c r="F337" s="155">
        <v>1016</v>
      </c>
      <c r="G337" s="155">
        <v>1</v>
      </c>
      <c r="H337" s="155">
        <v>110</v>
      </c>
      <c r="I337" s="155">
        <v>1</v>
      </c>
      <c r="J337" s="155">
        <v>5000</v>
      </c>
      <c r="K337" s="155">
        <v>65</v>
      </c>
      <c r="L337" s="155">
        <v>1</v>
      </c>
      <c r="M337" s="155">
        <f>(158.5+172.5+163.5+174)-(150+165+141.5+152)</f>
        <v>60</v>
      </c>
      <c r="R337" s="155">
        <f t="shared" si="193"/>
        <v>0.30116259301594911</v>
      </c>
      <c r="S337" s="155">
        <f t="shared" si="193"/>
        <v>117.96162315193455</v>
      </c>
      <c r="T337" s="155">
        <f t="shared" si="193"/>
        <v>117.96162315193455</v>
      </c>
      <c r="U337" s="91">
        <f t="shared" ref="U337" si="196">IF(AB337&lt;&gt;"",(AI337-AB337)/AI337,"-")</f>
        <v>0.88407531514281157</v>
      </c>
      <c r="V337" s="91">
        <f t="shared" ref="V337" si="197">IF(AC337&lt;&gt;"",(AJ337-AC337)/AJ337,"-")</f>
        <v>1</v>
      </c>
      <c r="W337" s="91">
        <f t="shared" ref="W337" si="198">IF(AD337&lt;&gt;"",(AK337-AD337)/AK337,"-")</f>
        <v>-1.3124999999999998</v>
      </c>
      <c r="X337" s="155">
        <v>1589.5</v>
      </c>
      <c r="Y337" s="155">
        <v>1370</v>
      </c>
      <c r="Z337" s="155">
        <f t="shared" si="183"/>
        <v>0.13809374016986475</v>
      </c>
      <c r="AA337" s="159"/>
      <c r="AB337" s="155">
        <v>1.4530000000000001</v>
      </c>
      <c r="AC337" s="155">
        <v>0</v>
      </c>
      <c r="AD337" s="160">
        <v>7.3999999999999996E-2</v>
      </c>
      <c r="AE337" s="159"/>
      <c r="AG337" s="160"/>
      <c r="AH337" s="159"/>
      <c r="AI337" s="155">
        <v>12.534000000000001</v>
      </c>
      <c r="AJ337" s="155">
        <v>3.2000000000000001E-2</v>
      </c>
      <c r="AK337" s="155">
        <v>3.2000000000000001E-2</v>
      </c>
      <c r="AL337" s="159"/>
      <c r="AN337" s="160"/>
    </row>
    <row r="338" spans="1:40" s="17" customFormat="1" x14ac:dyDescent="0.35">
      <c r="A338" s="161"/>
      <c r="B338" s="17">
        <v>359</v>
      </c>
      <c r="C338" s="17" t="s">
        <v>210</v>
      </c>
      <c r="D338" s="17" t="s">
        <v>90</v>
      </c>
      <c r="F338" s="17">
        <v>1016</v>
      </c>
      <c r="G338" s="17">
        <v>2</v>
      </c>
      <c r="H338" s="17">
        <v>115</v>
      </c>
      <c r="I338" s="17">
        <v>2</v>
      </c>
      <c r="J338" s="17">
        <v>5000</v>
      </c>
      <c r="K338" s="17">
        <v>65</v>
      </c>
      <c r="L338" s="17">
        <v>1</v>
      </c>
      <c r="M338" s="17">
        <f>(150+164.5+163+183.5)-(128+141.5+150.5+181)</f>
        <v>60</v>
      </c>
      <c r="R338" s="17">
        <f t="shared" si="193"/>
        <v>0.29585781310188569</v>
      </c>
      <c r="S338" s="17">
        <f t="shared" ref="S338:S355" si="199">IF(AND(Y338&lt;&gt;0,AJ338&lt;&gt;0,$M338&lt;&gt;0),$M338/($X338*(AJ338/100)),"")</f>
        <v>115.88380716934488</v>
      </c>
      <c r="T338" s="17">
        <f t="shared" ref="T338:T355" si="200">IF(AND(Z338&lt;&gt;0,AK338&lt;&gt;0,$M338&lt;&gt;0),$M338/($X338*(AK338/100)),"")</f>
        <v>115.88380716934488</v>
      </c>
      <c r="U338" s="91">
        <f t="shared" ref="U338:U347" si="201">IF(AB338&lt;&gt;"",(AI338-AB338)/AI338,"-")</f>
        <v>0.9625019945747566</v>
      </c>
      <c r="V338" s="91">
        <f t="shared" ref="V338:V347" si="202">IF(AC338&lt;&gt;"",(AJ338-AC338)/AJ338,"-")</f>
        <v>1</v>
      </c>
      <c r="W338" s="91">
        <f t="shared" ref="W338:W345" si="203">IF(AD338&lt;&gt;"",(AK338-AD338)/AK338,"-")</f>
        <v>0</v>
      </c>
      <c r="X338" s="17">
        <v>1618</v>
      </c>
      <c r="Y338" s="17">
        <v>1391.5</v>
      </c>
      <c r="Z338" s="17">
        <f t="shared" si="183"/>
        <v>0.13998763906056866</v>
      </c>
      <c r="AA338" s="16"/>
      <c r="AB338" s="40">
        <v>0.47</v>
      </c>
      <c r="AC338" s="17">
        <v>0</v>
      </c>
      <c r="AD338" s="21">
        <v>3.2000000000000001E-2</v>
      </c>
      <c r="AE338" s="16"/>
      <c r="AG338" s="21"/>
      <c r="AH338" s="16"/>
      <c r="AI338" s="17">
        <v>12.534000000000001</v>
      </c>
      <c r="AJ338" s="17">
        <v>3.2000000000000001E-2</v>
      </c>
      <c r="AK338" s="17">
        <v>3.2000000000000001E-2</v>
      </c>
      <c r="AL338" s="16"/>
      <c r="AN338" s="21"/>
    </row>
    <row r="339" spans="1:40" s="17" customFormat="1" x14ac:dyDescent="0.35">
      <c r="A339" s="161"/>
      <c r="B339" s="17">
        <v>360</v>
      </c>
      <c r="C339" s="17" t="s">
        <v>210</v>
      </c>
      <c r="D339" s="17" t="s">
        <v>90</v>
      </c>
      <c r="F339" s="17">
        <v>1016</v>
      </c>
      <c r="G339" s="17">
        <v>3</v>
      </c>
      <c r="H339" s="17">
        <v>120</v>
      </c>
      <c r="I339" s="17">
        <v>1</v>
      </c>
      <c r="J339" s="17">
        <v>5000</v>
      </c>
      <c r="K339" s="17">
        <v>65</v>
      </c>
      <c r="L339" s="17">
        <v>1</v>
      </c>
      <c r="M339" s="17">
        <f>(172.5+164+150.5+181+180+188)-(167.5+140+136+178+175+179.5)</f>
        <v>60</v>
      </c>
      <c r="R339" s="17">
        <f t="shared" ref="R339:T355" si="204">IF(AND(X339&lt;&gt;0,AI339&lt;&gt;0,$M339&lt;&gt;0),$M339/($X339*(AI339/100)),"")</f>
        <v>0.29853317218512698</v>
      </c>
      <c r="S339" s="17">
        <f t="shared" si="199"/>
        <v>116.93171188026193</v>
      </c>
      <c r="T339" s="17">
        <f t="shared" si="200"/>
        <v>116.93171188026193</v>
      </c>
      <c r="U339" s="91">
        <f t="shared" si="201"/>
        <v>0.97925642253071643</v>
      </c>
      <c r="V339" s="91">
        <f t="shared" si="202"/>
        <v>1</v>
      </c>
      <c r="W339" s="91">
        <f t="shared" si="203"/>
        <v>0.21874999999999997</v>
      </c>
      <c r="X339" s="17">
        <v>1603.5</v>
      </c>
      <c r="Y339" s="17">
        <v>1373.5</v>
      </c>
      <c r="Z339" s="17">
        <f t="shared" si="183"/>
        <v>0.14343623323978794</v>
      </c>
      <c r="AA339" s="16"/>
      <c r="AB339" s="40">
        <v>0.26</v>
      </c>
      <c r="AC339" s="17">
        <v>0</v>
      </c>
      <c r="AD339" s="21">
        <v>2.5000000000000001E-2</v>
      </c>
      <c r="AE339" s="16"/>
      <c r="AG339" s="21"/>
      <c r="AH339" s="16"/>
      <c r="AI339" s="17">
        <v>12.534000000000001</v>
      </c>
      <c r="AJ339" s="17">
        <v>3.2000000000000001E-2</v>
      </c>
      <c r="AK339" s="17">
        <v>3.2000000000000001E-2</v>
      </c>
      <c r="AL339" s="16"/>
      <c r="AN339" s="21"/>
    </row>
    <row r="340" spans="1:40" s="17" customFormat="1" x14ac:dyDescent="0.35">
      <c r="A340" s="161"/>
      <c r="B340" s="17">
        <v>361</v>
      </c>
      <c r="C340" s="17" t="s">
        <v>210</v>
      </c>
      <c r="D340" s="17" t="s">
        <v>90</v>
      </c>
      <c r="F340" s="17">
        <v>1016</v>
      </c>
      <c r="G340" s="17">
        <v>4</v>
      </c>
      <c r="H340" s="17">
        <v>95</v>
      </c>
      <c r="I340" s="17">
        <v>1</v>
      </c>
      <c r="J340" s="17">
        <v>5000</v>
      </c>
      <c r="K340" s="17">
        <v>65</v>
      </c>
      <c r="L340" s="17">
        <v>1</v>
      </c>
      <c r="M340" s="17">
        <f>(158+172.5+168+164.5)-(153+166+146.5+142.5)</f>
        <v>55</v>
      </c>
      <c r="Q340" s="17" t="s">
        <v>211</v>
      </c>
      <c r="R340" s="17">
        <f t="shared" si="204"/>
        <v>0.29253763097707564</v>
      </c>
      <c r="S340" s="17">
        <f t="shared" si="199"/>
        <v>114.58333333333333</v>
      </c>
      <c r="T340" s="17">
        <f t="shared" si="200"/>
        <v>114.58333333333333</v>
      </c>
      <c r="U340" s="91" t="str">
        <f t="shared" si="201"/>
        <v>-</v>
      </c>
      <c r="V340" s="91" t="str">
        <f t="shared" si="202"/>
        <v>-</v>
      </c>
      <c r="W340" s="91" t="str">
        <f t="shared" si="203"/>
        <v>-</v>
      </c>
      <c r="X340" s="17">
        <v>1500</v>
      </c>
      <c r="Y340" s="17">
        <v>1232.5</v>
      </c>
      <c r="Z340" s="17">
        <f t="shared" si="183"/>
        <v>0.17833333333333334</v>
      </c>
      <c r="AA340" s="16"/>
      <c r="AD340" s="21"/>
      <c r="AE340" s="16"/>
      <c r="AG340" s="21"/>
      <c r="AH340" s="16"/>
      <c r="AI340" s="17">
        <v>12.534000000000001</v>
      </c>
      <c r="AJ340" s="17">
        <v>3.2000000000000001E-2</v>
      </c>
      <c r="AK340" s="17">
        <v>3.2000000000000001E-2</v>
      </c>
      <c r="AL340" s="16"/>
      <c r="AN340" s="21"/>
    </row>
    <row r="341" spans="1:40" s="17" customFormat="1" x14ac:dyDescent="0.35">
      <c r="A341" s="161"/>
      <c r="B341" s="17">
        <v>362</v>
      </c>
      <c r="C341" s="17" t="s">
        <v>218</v>
      </c>
      <c r="D341" s="17" t="s">
        <v>90</v>
      </c>
      <c r="F341" s="17">
        <v>1016</v>
      </c>
      <c r="G341" s="17">
        <v>5</v>
      </c>
      <c r="H341" s="17">
        <v>100</v>
      </c>
      <c r="I341" s="17">
        <v>2</v>
      </c>
      <c r="J341" s="17">
        <v>5000</v>
      </c>
      <c r="K341" s="17">
        <v>65</v>
      </c>
      <c r="L341" s="17">
        <v>1</v>
      </c>
      <c r="M341" s="17">
        <f>(153+166+166+183+152.5+164)-(136+148+154+179.5+150+162)</f>
        <v>55</v>
      </c>
      <c r="Q341" s="17" t="s">
        <v>212</v>
      </c>
      <c r="R341" s="17">
        <f t="shared" si="204"/>
        <v>0.29253763097707564</v>
      </c>
      <c r="S341" s="17">
        <f t="shared" si="199"/>
        <v>114.58333333333333</v>
      </c>
      <c r="T341" s="17">
        <f t="shared" si="200"/>
        <v>114.58333333333333</v>
      </c>
      <c r="U341" s="91" t="str">
        <f t="shared" si="201"/>
        <v>-</v>
      </c>
      <c r="V341" s="91" t="str">
        <f t="shared" si="202"/>
        <v>-</v>
      </c>
      <c r="W341" s="91" t="str">
        <f t="shared" si="203"/>
        <v>-</v>
      </c>
      <c r="X341" s="17">
        <v>1500</v>
      </c>
      <c r="Y341" s="17">
        <v>1331.5</v>
      </c>
      <c r="Z341" s="17">
        <f t="shared" si="183"/>
        <v>0.11233333333333329</v>
      </c>
      <c r="AA341" s="16"/>
      <c r="AD341" s="21"/>
      <c r="AE341" s="16"/>
      <c r="AG341" s="21"/>
      <c r="AH341" s="16"/>
      <c r="AI341" s="17">
        <v>12.534000000000001</v>
      </c>
      <c r="AJ341" s="17">
        <v>3.2000000000000001E-2</v>
      </c>
      <c r="AK341" s="17">
        <v>3.2000000000000001E-2</v>
      </c>
      <c r="AL341" s="16"/>
      <c r="AN341" s="21"/>
    </row>
    <row r="342" spans="1:40" s="17" customFormat="1" x14ac:dyDescent="0.35">
      <c r="A342" s="161"/>
      <c r="B342" s="17">
        <v>363</v>
      </c>
      <c r="C342" s="17" t="s">
        <v>218</v>
      </c>
      <c r="D342" s="17" t="s">
        <v>90</v>
      </c>
      <c r="F342" s="17">
        <v>1016</v>
      </c>
      <c r="G342" s="17">
        <v>6</v>
      </c>
      <c r="H342" s="17">
        <v>100</v>
      </c>
      <c r="I342" s="17">
        <v>1</v>
      </c>
      <c r="J342" s="17">
        <v>5000</v>
      </c>
      <c r="K342" s="17">
        <v>65</v>
      </c>
      <c r="L342" s="17">
        <v>1</v>
      </c>
      <c r="M342" s="17">
        <f>(149.5+161.5+163.5+167.5)-(128+138+163+158)</f>
        <v>55</v>
      </c>
      <c r="Q342" s="17" t="s">
        <v>213</v>
      </c>
      <c r="R342" s="17">
        <f t="shared" si="204"/>
        <v>0.29253763097707564</v>
      </c>
      <c r="S342" s="17">
        <f t="shared" si="199"/>
        <v>114.58333333333333</v>
      </c>
      <c r="T342" s="17">
        <f t="shared" si="200"/>
        <v>114.58333333333333</v>
      </c>
      <c r="U342" s="91" t="str">
        <f t="shared" si="201"/>
        <v>-</v>
      </c>
      <c r="V342" s="91" t="str">
        <f t="shared" si="202"/>
        <v>-</v>
      </c>
      <c r="W342" s="91" t="str">
        <f t="shared" si="203"/>
        <v>-</v>
      </c>
      <c r="X342" s="17">
        <v>1500</v>
      </c>
      <c r="Y342" s="17">
        <v>1282</v>
      </c>
      <c r="Z342" s="17">
        <f t="shared" si="183"/>
        <v>0.14533333333333331</v>
      </c>
      <c r="AA342" s="16"/>
      <c r="AD342" s="21"/>
      <c r="AE342" s="16"/>
      <c r="AG342" s="21"/>
      <c r="AH342" s="16"/>
      <c r="AI342" s="17">
        <v>12.534000000000001</v>
      </c>
      <c r="AJ342" s="17">
        <v>3.2000000000000001E-2</v>
      </c>
      <c r="AK342" s="17">
        <v>3.2000000000000001E-2</v>
      </c>
      <c r="AL342" s="16"/>
      <c r="AN342" s="21"/>
    </row>
    <row r="343" spans="1:40" s="17" customFormat="1" x14ac:dyDescent="0.35">
      <c r="A343" s="161"/>
      <c r="B343" s="17">
        <v>364</v>
      </c>
      <c r="C343" s="17" t="s">
        <v>218</v>
      </c>
      <c r="D343" s="17" t="s">
        <v>90</v>
      </c>
      <c r="F343" s="17">
        <v>1016</v>
      </c>
      <c r="G343" s="17">
        <v>7</v>
      </c>
      <c r="H343" s="17">
        <v>102</v>
      </c>
      <c r="I343" s="17">
        <v>2</v>
      </c>
      <c r="J343" s="17">
        <v>5000</v>
      </c>
      <c r="K343" s="17">
        <v>65</v>
      </c>
      <c r="L343" s="17">
        <v>1</v>
      </c>
      <c r="M343" s="17">
        <f>(173+165+163+158)-(151.5+144.5+163+145)</f>
        <v>55</v>
      </c>
      <c r="Q343" s="17" t="s">
        <v>214</v>
      </c>
      <c r="R343" s="17">
        <f t="shared" si="204"/>
        <v>0.29253763097707564</v>
      </c>
      <c r="S343" s="17">
        <f t="shared" si="199"/>
        <v>114.58333333333333</v>
      </c>
      <c r="T343" s="17">
        <f t="shared" si="200"/>
        <v>114.58333333333333</v>
      </c>
      <c r="U343" s="91" t="str">
        <f t="shared" si="201"/>
        <v>-</v>
      </c>
      <c r="V343" s="91" t="str">
        <f t="shared" si="202"/>
        <v>-</v>
      </c>
      <c r="W343" s="91" t="str">
        <f t="shared" si="203"/>
        <v>-</v>
      </c>
      <c r="X343" s="17">
        <v>1500</v>
      </c>
      <c r="Y343" s="17">
        <v>1234.5</v>
      </c>
      <c r="Z343" s="17">
        <f t="shared" si="183"/>
        <v>0.17700000000000005</v>
      </c>
      <c r="AA343" s="16"/>
      <c r="AD343" s="21"/>
      <c r="AE343" s="16"/>
      <c r="AG343" s="21"/>
      <c r="AH343" s="16"/>
      <c r="AI343" s="17">
        <v>12.534000000000001</v>
      </c>
      <c r="AJ343" s="17">
        <v>3.2000000000000001E-2</v>
      </c>
      <c r="AK343" s="17">
        <v>3.2000000000000001E-2</v>
      </c>
      <c r="AL343" s="16"/>
      <c r="AN343" s="21"/>
    </row>
    <row r="344" spans="1:40" s="17" customFormat="1" x14ac:dyDescent="0.35">
      <c r="A344" s="161"/>
      <c r="B344" s="17">
        <v>365</v>
      </c>
      <c r="C344" s="17" t="s">
        <v>219</v>
      </c>
      <c r="D344" s="17" t="s">
        <v>90</v>
      </c>
      <c r="F344" s="17">
        <v>1016</v>
      </c>
      <c r="G344" s="17">
        <v>8</v>
      </c>
      <c r="H344" s="17">
        <v>96</v>
      </c>
      <c r="I344" s="17">
        <v>1</v>
      </c>
      <c r="J344" s="17">
        <v>5000</v>
      </c>
      <c r="K344" s="17">
        <v>65</v>
      </c>
      <c r="L344" s="17">
        <v>1</v>
      </c>
      <c r="M344" s="17">
        <f>(169.5+164+168.5+181.5)-(169.5+164+141.5+153.5)</f>
        <v>55</v>
      </c>
      <c r="Q344" s="17" t="s">
        <v>215</v>
      </c>
      <c r="R344" s="17">
        <f t="shared" si="204"/>
        <v>0.29253763097707564</v>
      </c>
      <c r="S344" s="17">
        <f t="shared" si="199"/>
        <v>114.58333333333333</v>
      </c>
      <c r="T344" s="17">
        <f t="shared" si="200"/>
        <v>114.58333333333333</v>
      </c>
      <c r="U344" s="91" t="str">
        <f t="shared" si="201"/>
        <v>-</v>
      </c>
      <c r="V344" s="91" t="str">
        <f t="shared" si="202"/>
        <v>-</v>
      </c>
      <c r="W344" s="91" t="str">
        <f t="shared" si="203"/>
        <v>-</v>
      </c>
      <c r="X344" s="17">
        <v>1500</v>
      </c>
      <c r="Y344" s="17">
        <v>1262</v>
      </c>
      <c r="Z344" s="17">
        <f t="shared" si="183"/>
        <v>0.15866666666666662</v>
      </c>
      <c r="AA344" s="16"/>
      <c r="AD344" s="21"/>
      <c r="AE344" s="16"/>
      <c r="AG344" s="21"/>
      <c r="AH344" s="16"/>
      <c r="AI344" s="17">
        <v>12.534000000000001</v>
      </c>
      <c r="AJ344" s="17">
        <v>3.2000000000000001E-2</v>
      </c>
      <c r="AK344" s="17">
        <v>3.2000000000000001E-2</v>
      </c>
      <c r="AL344" s="16"/>
      <c r="AN344" s="21"/>
    </row>
    <row r="345" spans="1:40" s="17" customFormat="1" x14ac:dyDescent="0.35">
      <c r="A345" s="161"/>
      <c r="B345" s="17">
        <v>366</v>
      </c>
      <c r="C345" s="17" t="s">
        <v>219</v>
      </c>
      <c r="D345" s="17" t="s">
        <v>90</v>
      </c>
      <c r="F345" s="17">
        <v>1016</v>
      </c>
      <c r="G345" s="17">
        <v>9</v>
      </c>
      <c r="H345" s="17">
        <v>94</v>
      </c>
      <c r="I345" s="17">
        <v>2</v>
      </c>
      <c r="J345" s="17">
        <v>5000</v>
      </c>
      <c r="K345" s="17">
        <v>65</v>
      </c>
      <c r="L345" s="17">
        <v>1</v>
      </c>
      <c r="M345" s="17">
        <f>(169.5+163.5+161.5+164)-(156.5+139.5+152+155.5)</f>
        <v>55</v>
      </c>
      <c r="Q345" s="17" t="s">
        <v>216</v>
      </c>
      <c r="R345" s="17">
        <f t="shared" si="204"/>
        <v>0.29253763097707564</v>
      </c>
      <c r="S345" s="17">
        <f t="shared" si="199"/>
        <v>114.58333333333333</v>
      </c>
      <c r="T345" s="17">
        <f t="shared" si="200"/>
        <v>114.58333333333333</v>
      </c>
      <c r="U345" s="91" t="str">
        <f t="shared" si="201"/>
        <v>-</v>
      </c>
      <c r="V345" s="91" t="str">
        <f t="shared" si="202"/>
        <v>-</v>
      </c>
      <c r="W345" s="91" t="str">
        <f t="shared" si="203"/>
        <v>-</v>
      </c>
      <c r="X345" s="17">
        <v>1500</v>
      </c>
      <c r="Y345" s="17">
        <v>1277</v>
      </c>
      <c r="Z345" s="17">
        <f t="shared" si="183"/>
        <v>0.14866666666666661</v>
      </c>
      <c r="AA345" s="16"/>
      <c r="AD345" s="21"/>
      <c r="AE345" s="16"/>
      <c r="AG345" s="21"/>
      <c r="AH345" s="16"/>
      <c r="AI345" s="17">
        <v>12.534000000000001</v>
      </c>
      <c r="AJ345" s="17">
        <v>3.2000000000000001E-2</v>
      </c>
      <c r="AK345" s="17">
        <v>3.2000000000000001E-2</v>
      </c>
      <c r="AL345" s="16"/>
      <c r="AN345" s="21"/>
    </row>
    <row r="346" spans="1:40" s="17" customFormat="1" x14ac:dyDescent="0.35">
      <c r="A346" s="161"/>
      <c r="B346" s="17">
        <v>367</v>
      </c>
      <c r="C346" s="17" t="s">
        <v>219</v>
      </c>
      <c r="D346" s="17" t="s">
        <v>90</v>
      </c>
      <c r="F346" s="17">
        <v>1016</v>
      </c>
      <c r="G346" s="17">
        <v>10</v>
      </c>
      <c r="H346" s="17">
        <v>100</v>
      </c>
      <c r="I346" s="17">
        <v>1</v>
      </c>
      <c r="J346" s="17">
        <v>5000</v>
      </c>
      <c r="K346" s="17">
        <v>65</v>
      </c>
      <c r="L346" s="17">
        <v>1</v>
      </c>
      <c r="M346" s="17">
        <f>(164.5+165.5+147+151.5)-(147+147+134.5+138)</f>
        <v>62</v>
      </c>
      <c r="R346" s="17">
        <f t="shared" si="204"/>
        <v>0.49440733598415409</v>
      </c>
      <c r="S346" s="17">
        <f t="shared" si="199"/>
        <v>193.65317341329336</v>
      </c>
      <c r="T346" s="17">
        <f t="shared" si="200"/>
        <v>193.65317341329336</v>
      </c>
      <c r="U346" s="91">
        <f t="shared" si="201"/>
        <v>0.86596457635232171</v>
      </c>
      <c r="V346" s="91">
        <f t="shared" si="202"/>
        <v>1</v>
      </c>
      <c r="W346" s="91">
        <f t="shared" si="189"/>
        <v>-1.7812499999999998</v>
      </c>
      <c r="X346" s="17">
        <v>1000.5</v>
      </c>
      <c r="Y346" s="17">
        <v>838</v>
      </c>
      <c r="Z346" s="17">
        <f t="shared" si="183"/>
        <v>0.16241879060469766</v>
      </c>
      <c r="AA346" s="16"/>
      <c r="AB346" s="40">
        <v>1.68</v>
      </c>
      <c r="AC346" s="17">
        <v>0</v>
      </c>
      <c r="AD346" s="21">
        <v>8.8999999999999996E-2</v>
      </c>
      <c r="AE346" s="16"/>
      <c r="AG346" s="21"/>
      <c r="AH346" s="16"/>
      <c r="AI346" s="17">
        <v>12.534000000000001</v>
      </c>
      <c r="AJ346" s="17">
        <v>3.2000000000000001E-2</v>
      </c>
      <c r="AK346" s="17">
        <v>3.2000000000000001E-2</v>
      </c>
      <c r="AL346" s="16"/>
      <c r="AN346" s="21"/>
    </row>
    <row r="347" spans="1:40" s="17" customFormat="1" ht="15" thickBot="1" x14ac:dyDescent="0.4">
      <c r="A347" s="161"/>
      <c r="B347" s="17">
        <v>368</v>
      </c>
      <c r="C347" s="17" t="s">
        <v>219</v>
      </c>
      <c r="D347" s="17" t="s">
        <v>90</v>
      </c>
      <c r="F347" s="17">
        <v>1016</v>
      </c>
      <c r="G347" s="17">
        <v>11</v>
      </c>
      <c r="H347" s="17" t="s">
        <v>221</v>
      </c>
      <c r="I347" s="17">
        <v>2</v>
      </c>
      <c r="J347" s="17">
        <v>5000</v>
      </c>
      <c r="K347" s="17">
        <v>65</v>
      </c>
      <c r="L347" s="17">
        <v>1</v>
      </c>
      <c r="M347" s="17">
        <f>(147+147+170+178)-(140.5+140+147.5+155)</f>
        <v>59</v>
      </c>
      <c r="R347" s="17">
        <f t="shared" si="204"/>
        <v>0.48204776505089969</v>
      </c>
      <c r="S347" s="17">
        <f t="shared" si="199"/>
        <v>188.81208397337429</v>
      </c>
      <c r="T347" s="17">
        <f t="shared" si="200"/>
        <v>188.81208397337429</v>
      </c>
      <c r="U347" s="91">
        <f t="shared" si="201"/>
        <v>0.78530397319291523</v>
      </c>
      <c r="V347" s="91">
        <f t="shared" si="202"/>
        <v>1</v>
      </c>
      <c r="W347" s="91">
        <f t="shared" si="189"/>
        <v>-2.4375</v>
      </c>
      <c r="X347" s="17">
        <v>976.5</v>
      </c>
      <c r="Y347" s="17">
        <v>849</v>
      </c>
      <c r="Z347" s="17">
        <f t="shared" si="183"/>
        <v>0.13056835637480801</v>
      </c>
      <c r="AA347" s="16"/>
      <c r="AB347" s="17">
        <v>2.6909999999999998</v>
      </c>
      <c r="AC347" s="17">
        <v>0</v>
      </c>
      <c r="AD347" s="118">
        <v>0.11</v>
      </c>
      <c r="AE347" s="16"/>
      <c r="AG347" s="21"/>
      <c r="AH347" s="16"/>
      <c r="AI347" s="17">
        <v>12.534000000000001</v>
      </c>
      <c r="AJ347" s="17">
        <v>3.2000000000000001E-2</v>
      </c>
      <c r="AK347" s="17">
        <v>3.2000000000000001E-2</v>
      </c>
      <c r="AL347" s="16"/>
      <c r="AN347" s="21"/>
    </row>
    <row r="348" spans="1:40" s="155" customFormat="1" x14ac:dyDescent="0.35">
      <c r="A348" s="154"/>
      <c r="B348" s="155">
        <v>368</v>
      </c>
      <c r="C348" s="155" t="s">
        <v>220</v>
      </c>
      <c r="D348" s="155" t="s">
        <v>90</v>
      </c>
      <c r="F348" s="155">
        <v>1018</v>
      </c>
      <c r="G348" s="155">
        <v>1</v>
      </c>
      <c r="H348" s="155">
        <v>95</v>
      </c>
      <c r="I348" s="155">
        <v>1</v>
      </c>
      <c r="J348" s="155">
        <v>5000</v>
      </c>
      <c r="K348" s="155">
        <v>65</v>
      </c>
      <c r="L348" s="155">
        <v>1</v>
      </c>
      <c r="M348" s="155">
        <f>(161+158)-(131+133)</f>
        <v>55</v>
      </c>
      <c r="Q348" s="155" t="s">
        <v>217</v>
      </c>
      <c r="R348" s="155">
        <f t="shared" ref="R348:R351" si="205">IF(AND(X348&lt;&gt;0,AI348&lt;&gt;0,$M348&lt;&gt;0),$M348/($X348*(AI348/100)),"")</f>
        <v>0.24358378174893155</v>
      </c>
      <c r="S348" s="155">
        <f t="shared" ref="S348:S351" si="206">IF(AND(Y348&lt;&gt;0,AJ348&lt;&gt;0,$M348&lt;&gt;0),$M348/($X348*(AJ348/100)),"")</f>
        <v>66.666666666666657</v>
      </c>
      <c r="T348" s="155">
        <f t="shared" ref="T348:T351" si="207">IF(AND(Z348&lt;&gt;0,AK348&lt;&gt;0,$M348&lt;&gt;0),$M348/($X348*(AK348/100)),"")</f>
        <v>6.7401960784313726</v>
      </c>
      <c r="U348" s="155" t="str">
        <f t="shared" ref="U348" si="208">IF(AB348&lt;&gt;"",(AI348-AB348)/AI348,"-")</f>
        <v>-</v>
      </c>
      <c r="V348" s="155" t="str">
        <f t="shared" ref="V348" si="209">IF(AC348&lt;&gt;"",(AJ348-AC348)/AJ348,"-")</f>
        <v>-</v>
      </c>
      <c r="W348" s="155" t="str">
        <f t="shared" ref="W348" si="210">IF(AD348&lt;&gt;"",(AK348-AD348)/AK348,"-")</f>
        <v>-</v>
      </c>
      <c r="X348" s="155">
        <v>1500</v>
      </c>
      <c r="Y348" s="155">
        <v>1303</v>
      </c>
      <c r="Z348" s="155">
        <f t="shared" si="183"/>
        <v>0.1313333333333333</v>
      </c>
      <c r="AA348" s="159"/>
      <c r="AD348" s="160"/>
      <c r="AE348" s="159"/>
      <c r="AG348" s="160"/>
      <c r="AH348" s="159"/>
      <c r="AI348" s="155">
        <v>15.053000000000001</v>
      </c>
      <c r="AJ348" s="155">
        <v>5.5E-2</v>
      </c>
      <c r="AK348" s="160">
        <v>0.54400000000000004</v>
      </c>
      <c r="AL348" s="159"/>
      <c r="AN348" s="160"/>
    </row>
    <row r="349" spans="1:40" s="17" customFormat="1" x14ac:dyDescent="0.35">
      <c r="A349" s="161"/>
      <c r="B349" s="17">
        <v>369</v>
      </c>
      <c r="C349" s="17" t="s">
        <v>220</v>
      </c>
      <c r="D349" s="17" t="s">
        <v>90</v>
      </c>
      <c r="F349" s="17">
        <v>1018</v>
      </c>
      <c r="G349" s="17">
        <v>2</v>
      </c>
      <c r="H349" s="17">
        <v>103</v>
      </c>
      <c r="I349" s="17">
        <v>2</v>
      </c>
      <c r="J349" s="17">
        <v>5000</v>
      </c>
      <c r="K349" s="17">
        <v>65</v>
      </c>
      <c r="L349" s="17">
        <v>1</v>
      </c>
      <c r="M349" s="17">
        <f>(160+186.5)-(129+162.5)</f>
        <v>55</v>
      </c>
      <c r="Q349" s="17" t="s">
        <v>222</v>
      </c>
      <c r="R349" s="17">
        <f t="shared" si="205"/>
        <v>0.24358378174893155</v>
      </c>
      <c r="S349" s="17">
        <f t="shared" si="206"/>
        <v>66.666666666666657</v>
      </c>
      <c r="T349" s="17">
        <f t="shared" si="207"/>
        <v>6.7401960784313726</v>
      </c>
      <c r="U349" s="17" t="str">
        <f t="shared" ref="U349:U355" si="211">IF(AB349&lt;&gt;"",(AI349-AB349)/AI349,"-")</f>
        <v>-</v>
      </c>
      <c r="V349" s="17" t="str">
        <f t="shared" ref="V349:V355" si="212">IF(AC349&lt;&gt;"",(AJ349-AC349)/AJ349,"-")</f>
        <v>-</v>
      </c>
      <c r="W349" s="17" t="str">
        <f t="shared" ref="W349:W355" si="213">IF(AD349&lt;&gt;"",(AK349-AD349)/AK349,"-")</f>
        <v>-</v>
      </c>
      <c r="X349" s="17">
        <v>1500</v>
      </c>
      <c r="Y349" s="17">
        <v>1266.5</v>
      </c>
      <c r="Z349" s="17">
        <f t="shared" ref="Z349:Z412" si="214">IF(Y349,1-Y349/X349,"-")</f>
        <v>0.15566666666666662</v>
      </c>
      <c r="AA349" s="16"/>
      <c r="AD349" s="21"/>
      <c r="AE349" s="16"/>
      <c r="AG349" s="21"/>
      <c r="AH349" s="16"/>
      <c r="AI349" s="17">
        <v>15.053000000000001</v>
      </c>
      <c r="AJ349" s="17">
        <v>5.5E-2</v>
      </c>
      <c r="AK349" s="21">
        <v>0.54400000000000004</v>
      </c>
      <c r="AL349" s="16"/>
      <c r="AN349" s="21"/>
    </row>
    <row r="350" spans="1:40" s="17" customFormat="1" x14ac:dyDescent="0.35">
      <c r="A350" s="161"/>
      <c r="B350" s="17">
        <v>370</v>
      </c>
      <c r="C350" s="17" t="s">
        <v>223</v>
      </c>
      <c r="D350" s="17" t="s">
        <v>90</v>
      </c>
      <c r="F350" s="17">
        <v>1018</v>
      </c>
      <c r="G350" s="17">
        <v>3</v>
      </c>
      <c r="H350" s="17">
        <v>99</v>
      </c>
      <c r="I350" s="17">
        <v>1</v>
      </c>
      <c r="J350" s="17">
        <v>5000</v>
      </c>
      <c r="K350" s="17">
        <v>65</v>
      </c>
      <c r="L350" s="17">
        <v>1</v>
      </c>
      <c r="M350" s="17">
        <f>(169.5+120)-(142.5+92)</f>
        <v>55</v>
      </c>
      <c r="Q350" s="17" t="s">
        <v>224</v>
      </c>
      <c r="R350" s="17">
        <f t="shared" si="205"/>
        <v>0.24358378174893155</v>
      </c>
      <c r="S350" s="17">
        <f t="shared" si="206"/>
        <v>66.666666666666657</v>
      </c>
      <c r="T350" s="17">
        <f t="shared" si="207"/>
        <v>6.7401960784313726</v>
      </c>
      <c r="U350" s="17" t="str">
        <f t="shared" si="211"/>
        <v>-</v>
      </c>
      <c r="V350" s="17" t="str">
        <f t="shared" si="212"/>
        <v>-</v>
      </c>
      <c r="W350" s="17" t="str">
        <f t="shared" si="213"/>
        <v>-</v>
      </c>
      <c r="X350" s="17">
        <v>1500</v>
      </c>
      <c r="Y350" s="17">
        <v>1279</v>
      </c>
      <c r="Z350" s="17">
        <f t="shared" si="214"/>
        <v>0.14733333333333332</v>
      </c>
      <c r="AA350" s="16"/>
      <c r="AD350" s="21"/>
      <c r="AE350" s="16"/>
      <c r="AG350" s="21"/>
      <c r="AH350" s="16"/>
      <c r="AI350" s="17">
        <v>15.053000000000001</v>
      </c>
      <c r="AJ350" s="17">
        <v>5.5E-2</v>
      </c>
      <c r="AK350" s="21">
        <v>0.54400000000000004</v>
      </c>
      <c r="AL350" s="16"/>
      <c r="AN350" s="21"/>
    </row>
    <row r="351" spans="1:40" s="17" customFormat="1" x14ac:dyDescent="0.35">
      <c r="A351" s="161"/>
      <c r="B351" s="17">
        <v>371</v>
      </c>
      <c r="C351" s="17" t="s">
        <v>223</v>
      </c>
      <c r="D351" s="17" t="s">
        <v>90</v>
      </c>
      <c r="F351" s="17">
        <v>1018</v>
      </c>
      <c r="G351" s="17">
        <v>4</v>
      </c>
      <c r="H351" s="17">
        <v>95</v>
      </c>
      <c r="I351" s="17">
        <v>2</v>
      </c>
      <c r="J351" s="17">
        <v>5000</v>
      </c>
      <c r="K351" s="17">
        <v>65</v>
      </c>
      <c r="L351" s="17">
        <v>1</v>
      </c>
      <c r="M351" s="17">
        <f>(168+164.5)-(139.5+138)</f>
        <v>55</v>
      </c>
      <c r="Q351" s="17" t="s">
        <v>225</v>
      </c>
      <c r="R351" s="17">
        <f t="shared" si="205"/>
        <v>0.24358378174893155</v>
      </c>
      <c r="S351" s="17">
        <f t="shared" si="206"/>
        <v>66.666666666666657</v>
      </c>
      <c r="T351" s="17">
        <f t="shared" si="207"/>
        <v>6.7401960784313726</v>
      </c>
      <c r="U351" s="17" t="str">
        <f t="shared" si="211"/>
        <v>-</v>
      </c>
      <c r="V351" s="17" t="str">
        <f t="shared" si="212"/>
        <v>-</v>
      </c>
      <c r="W351" s="17" t="str">
        <f t="shared" si="213"/>
        <v>-</v>
      </c>
      <c r="X351" s="17">
        <v>1500</v>
      </c>
      <c r="Y351" s="17">
        <v>1283.5</v>
      </c>
      <c r="Z351" s="17">
        <f t="shared" si="214"/>
        <v>0.14433333333333331</v>
      </c>
      <c r="AA351" s="16"/>
      <c r="AD351" s="21"/>
      <c r="AE351" s="16"/>
      <c r="AG351" s="21"/>
      <c r="AH351" s="16"/>
      <c r="AI351" s="17">
        <v>15.053000000000001</v>
      </c>
      <c r="AJ351" s="17">
        <v>5.5E-2</v>
      </c>
      <c r="AK351" s="21">
        <v>0.54400000000000004</v>
      </c>
      <c r="AL351" s="16"/>
      <c r="AN351" s="21"/>
    </row>
    <row r="352" spans="1:40" s="17" customFormat="1" x14ac:dyDescent="0.35">
      <c r="A352" s="161"/>
      <c r="B352" s="17">
        <v>372</v>
      </c>
      <c r="C352" s="17" t="s">
        <v>223</v>
      </c>
      <c r="D352" s="17" t="s">
        <v>90</v>
      </c>
      <c r="F352" s="17">
        <v>1018</v>
      </c>
      <c r="G352" s="17">
        <v>5</v>
      </c>
      <c r="H352" s="17">
        <v>98</v>
      </c>
      <c r="I352" s="17">
        <v>1</v>
      </c>
      <c r="J352" s="17">
        <v>5000</v>
      </c>
      <c r="K352" s="17">
        <v>65</v>
      </c>
      <c r="L352" s="17">
        <v>1</v>
      </c>
      <c r="M352" s="17">
        <f>(156.5+158)-(129.5+130)</f>
        <v>55</v>
      </c>
      <c r="Q352" s="17" t="s">
        <v>226</v>
      </c>
      <c r="R352" s="17">
        <f t="shared" ref="R352:R415" si="215">IF(AND(X352&lt;&gt;0,AI352&lt;&gt;0,$M352&lt;&gt;0),$M352/($X352*(AI352/100)),"")</f>
        <v>0.24358378174893155</v>
      </c>
      <c r="S352" s="17">
        <f t="shared" ref="S352:S415" si="216">IF(AND(Y352&lt;&gt;0,AJ352&lt;&gt;0,$M352&lt;&gt;0),$M352/($X352*(AJ352/100)),"")</f>
        <v>66.666666666666657</v>
      </c>
      <c r="T352" s="17">
        <f t="shared" ref="T352:T415" si="217">IF(AND(Z352&lt;&gt;0,AK352&lt;&gt;0,$M352&lt;&gt;0),$M352/($X352*(AK352/100)),"")</f>
        <v>6.7401960784313726</v>
      </c>
      <c r="U352" s="17" t="str">
        <f t="shared" si="211"/>
        <v>-</v>
      </c>
      <c r="V352" s="17" t="str">
        <f t="shared" si="212"/>
        <v>-</v>
      </c>
      <c r="W352" s="17" t="str">
        <f t="shared" si="213"/>
        <v>-</v>
      </c>
      <c r="X352" s="17">
        <v>1500</v>
      </c>
      <c r="Y352" s="17">
        <v>1251</v>
      </c>
      <c r="Z352" s="17">
        <f t="shared" si="214"/>
        <v>0.16600000000000004</v>
      </c>
      <c r="AA352" s="16"/>
      <c r="AD352" s="21"/>
      <c r="AE352" s="16"/>
      <c r="AG352" s="21"/>
      <c r="AH352" s="16"/>
      <c r="AI352" s="17">
        <v>15.053000000000001</v>
      </c>
      <c r="AJ352" s="17">
        <v>5.5E-2</v>
      </c>
      <c r="AK352" s="21">
        <v>0.54400000000000004</v>
      </c>
      <c r="AL352" s="16"/>
      <c r="AN352" s="21"/>
    </row>
    <row r="353" spans="1:40" s="17" customFormat="1" x14ac:dyDescent="0.35">
      <c r="A353" s="161"/>
      <c r="B353" s="17">
        <v>373</v>
      </c>
      <c r="C353" s="17" t="s">
        <v>223</v>
      </c>
      <c r="D353" s="17" t="s">
        <v>90</v>
      </c>
      <c r="F353" s="17">
        <v>1018</v>
      </c>
      <c r="G353" s="17">
        <v>6</v>
      </c>
      <c r="H353" s="17">
        <v>98</v>
      </c>
      <c r="I353" s="17">
        <v>2</v>
      </c>
      <c r="J353" s="17">
        <v>5000</v>
      </c>
      <c r="K353" s="17">
        <v>65</v>
      </c>
      <c r="L353" s="17">
        <v>1</v>
      </c>
      <c r="M353" s="17">
        <f>(145.5+171+121.5+169.5)-(135+159+116.5+142)</f>
        <v>55</v>
      </c>
      <c r="Q353" s="17" t="s">
        <v>227</v>
      </c>
      <c r="R353" s="17">
        <f t="shared" si="215"/>
        <v>0.24358378174893155</v>
      </c>
      <c r="S353" s="17">
        <f t="shared" si="216"/>
        <v>66.666666666666657</v>
      </c>
      <c r="T353" s="17">
        <f t="shared" si="217"/>
        <v>6.7401960784313726</v>
      </c>
      <c r="U353" s="17" t="str">
        <f t="shared" si="211"/>
        <v>-</v>
      </c>
      <c r="V353" s="17" t="str">
        <f t="shared" si="212"/>
        <v>-</v>
      </c>
      <c r="W353" s="17" t="str">
        <f t="shared" si="213"/>
        <v>-</v>
      </c>
      <c r="X353" s="17">
        <v>1500</v>
      </c>
      <c r="Y353" s="17">
        <v>1277</v>
      </c>
      <c r="Z353" s="17">
        <f t="shared" si="214"/>
        <v>0.14866666666666661</v>
      </c>
      <c r="AA353" s="16"/>
      <c r="AD353" s="21"/>
      <c r="AE353" s="16"/>
      <c r="AG353" s="21"/>
      <c r="AH353" s="16"/>
      <c r="AI353" s="17">
        <v>15.053000000000001</v>
      </c>
      <c r="AJ353" s="17">
        <v>5.5E-2</v>
      </c>
      <c r="AK353" s="21">
        <v>0.54400000000000004</v>
      </c>
      <c r="AL353" s="16"/>
      <c r="AN353" s="21"/>
    </row>
    <row r="354" spans="1:40" s="17" customFormat="1" x14ac:dyDescent="0.35">
      <c r="A354" s="161"/>
      <c r="B354" s="17">
        <v>374</v>
      </c>
      <c r="C354" s="17" t="s">
        <v>228</v>
      </c>
      <c r="D354" s="17" t="s">
        <v>90</v>
      </c>
      <c r="F354" s="17">
        <v>1018</v>
      </c>
      <c r="G354" s="17">
        <v>7</v>
      </c>
      <c r="H354" s="17">
        <v>90</v>
      </c>
      <c r="I354" s="17">
        <v>1</v>
      </c>
      <c r="J354" s="17">
        <v>5000</v>
      </c>
      <c r="K354" s="17">
        <v>65</v>
      </c>
      <c r="L354" s="17">
        <v>1</v>
      </c>
      <c r="M354" s="17">
        <f>(163+179)-(137+150)</f>
        <v>55</v>
      </c>
      <c r="Q354" s="17" t="s">
        <v>229</v>
      </c>
      <c r="R354" s="17">
        <f t="shared" si="215"/>
        <v>0.24358378174893155</v>
      </c>
      <c r="S354" s="17">
        <f t="shared" si="216"/>
        <v>66.666666666666657</v>
      </c>
      <c r="T354" s="17">
        <f t="shared" si="217"/>
        <v>6.7401960784313726</v>
      </c>
      <c r="U354" s="17" t="str">
        <f t="shared" si="211"/>
        <v>-</v>
      </c>
      <c r="V354" s="17" t="str">
        <f t="shared" si="212"/>
        <v>-</v>
      </c>
      <c r="W354" s="17" t="str">
        <f t="shared" si="213"/>
        <v>-</v>
      </c>
      <c r="X354" s="17">
        <v>1500</v>
      </c>
      <c r="Y354" s="17">
        <v>1343.5</v>
      </c>
      <c r="Z354" s="17">
        <f t="shared" si="214"/>
        <v>0.10433333333333328</v>
      </c>
      <c r="AA354" s="16"/>
      <c r="AD354" s="21"/>
      <c r="AE354" s="16"/>
      <c r="AG354" s="21"/>
      <c r="AH354" s="16"/>
      <c r="AI354" s="17">
        <v>15.053000000000001</v>
      </c>
      <c r="AJ354" s="17">
        <v>5.5E-2</v>
      </c>
      <c r="AK354" s="21">
        <v>0.54400000000000004</v>
      </c>
      <c r="AL354" s="16"/>
      <c r="AN354" s="21"/>
    </row>
    <row r="355" spans="1:40" s="17" customFormat="1" x14ac:dyDescent="0.35">
      <c r="A355" s="161"/>
      <c r="B355" s="17">
        <v>375</v>
      </c>
      <c r="C355" s="17" t="s">
        <v>228</v>
      </c>
      <c r="D355" s="17" t="s">
        <v>90</v>
      </c>
      <c r="F355" s="17">
        <v>1018</v>
      </c>
      <c r="G355" s="17">
        <v>8</v>
      </c>
      <c r="H355" s="17">
        <v>102</v>
      </c>
      <c r="I355" s="17">
        <v>2</v>
      </c>
      <c r="J355" s="17">
        <v>5000</v>
      </c>
      <c r="K355" s="17">
        <v>65</v>
      </c>
      <c r="L355" s="17">
        <v>1</v>
      </c>
      <c r="M355" s="17">
        <f>(141.5+162)-(115.5+133)</f>
        <v>55</v>
      </c>
      <c r="Q355" s="17" t="s">
        <v>230</v>
      </c>
      <c r="R355" s="17">
        <f t="shared" ref="R355:R357" si="218">IF(AND(X355&lt;&gt;0,AI355&lt;&gt;0,$M355&lt;&gt;0),$M355/($X355*(AI355/100)),"")</f>
        <v>0.24358378174893155</v>
      </c>
      <c r="S355" s="17">
        <f t="shared" si="216"/>
        <v>66.666666666666657</v>
      </c>
      <c r="T355" s="17">
        <f t="shared" si="217"/>
        <v>6.7401960784313726</v>
      </c>
      <c r="U355" s="17" t="str">
        <f t="shared" si="211"/>
        <v>-</v>
      </c>
      <c r="V355" s="17" t="str">
        <f t="shared" si="212"/>
        <v>-</v>
      </c>
      <c r="W355" s="17" t="str">
        <f t="shared" si="213"/>
        <v>-</v>
      </c>
      <c r="X355" s="17">
        <v>1500</v>
      </c>
      <c r="Y355" s="17">
        <v>1286</v>
      </c>
      <c r="Z355" s="17">
        <f t="shared" si="214"/>
        <v>0.14266666666666672</v>
      </c>
      <c r="AA355" s="16"/>
      <c r="AD355" s="21"/>
      <c r="AE355" s="16"/>
      <c r="AG355" s="21"/>
      <c r="AH355" s="16"/>
      <c r="AI355" s="17">
        <v>15.053000000000001</v>
      </c>
      <c r="AJ355" s="17">
        <v>5.5E-2</v>
      </c>
      <c r="AK355" s="21">
        <v>0.54400000000000004</v>
      </c>
      <c r="AL355" s="16"/>
      <c r="AN355" s="21"/>
    </row>
    <row r="356" spans="1:40" s="17" customFormat="1" x14ac:dyDescent="0.35">
      <c r="A356" s="161"/>
      <c r="B356" s="17">
        <v>376</v>
      </c>
      <c r="C356" s="17" t="s">
        <v>231</v>
      </c>
      <c r="D356" s="17" t="s">
        <v>90</v>
      </c>
      <c r="F356" s="17">
        <v>1018</v>
      </c>
      <c r="G356" s="17">
        <v>9</v>
      </c>
      <c r="H356" s="17">
        <v>92</v>
      </c>
      <c r="I356" s="17">
        <v>1</v>
      </c>
      <c r="J356" s="17">
        <v>5000</v>
      </c>
      <c r="K356" s="17">
        <v>65</v>
      </c>
      <c r="L356" s="17">
        <v>1</v>
      </c>
      <c r="M356" s="17">
        <f>(162.5+159+165+161.5)-(158.5+155.5+141.5+137.5)</f>
        <v>55</v>
      </c>
      <c r="Q356" s="17" t="s">
        <v>233</v>
      </c>
      <c r="R356" s="17">
        <f t="shared" ref="R356" si="219">IF(AND(X356&lt;&gt;0,AI356&lt;&gt;0,$M356&lt;&gt;0),$M356/($X356*(AI356/100)),"")</f>
        <v>0.24358378174893155</v>
      </c>
      <c r="S356" s="17">
        <f t="shared" ref="S356" si="220">IF(AND(Y356&lt;&gt;0,AJ356&lt;&gt;0,$M356&lt;&gt;0),$M356/($X356*(AJ356/100)),"")</f>
        <v>66.666666666666657</v>
      </c>
      <c r="T356" s="17">
        <f t="shared" ref="T356" si="221">IF(AND(Z356&lt;&gt;0,AK356&lt;&gt;0,$M356&lt;&gt;0),$M356/($X356*(AK356/100)),"")</f>
        <v>6.7401960784313726</v>
      </c>
      <c r="U356" s="17" t="str">
        <f t="shared" ref="U356:U419" si="222">IF(AB356&lt;&gt;"",(AI356-AB356)/AI356,"-")</f>
        <v>-</v>
      </c>
      <c r="V356" s="17" t="str">
        <f t="shared" ref="V356:V419" si="223">IF(AC356&lt;&gt;"",(AJ356-AC356)/AJ356,"-")</f>
        <v>-</v>
      </c>
      <c r="W356" s="17" t="str">
        <f t="shared" ref="W356:W419" si="224">IF(AD356&lt;&gt;"",(AK356-AD356)/AK356,"-")</f>
        <v>-</v>
      </c>
      <c r="X356" s="17">
        <v>1500</v>
      </c>
      <c r="Y356" s="17">
        <v>1318</v>
      </c>
      <c r="Z356" s="17">
        <f t="shared" si="214"/>
        <v>0.12133333333333329</v>
      </c>
      <c r="AA356" s="16"/>
      <c r="AD356" s="21"/>
      <c r="AE356" s="16"/>
      <c r="AG356" s="21"/>
      <c r="AH356" s="16"/>
      <c r="AI356" s="17">
        <v>15.053000000000001</v>
      </c>
      <c r="AJ356" s="17">
        <v>5.5E-2</v>
      </c>
      <c r="AK356" s="21">
        <v>0.54400000000000004</v>
      </c>
      <c r="AL356" s="16"/>
      <c r="AN356" s="21"/>
    </row>
    <row r="357" spans="1:40" s="163" customFormat="1" ht="15" thickBot="1" x14ac:dyDescent="0.4">
      <c r="A357" s="162"/>
      <c r="B357" s="163">
        <v>378</v>
      </c>
      <c r="C357" s="163" t="s">
        <v>231</v>
      </c>
      <c r="D357" s="163" t="s">
        <v>90</v>
      </c>
      <c r="F357" s="163">
        <v>1018</v>
      </c>
      <c r="G357" s="163">
        <v>10</v>
      </c>
      <c r="H357" s="163">
        <v>94</v>
      </c>
      <c r="I357" s="163">
        <v>2</v>
      </c>
      <c r="J357" s="163">
        <v>5000</v>
      </c>
      <c r="K357" s="163">
        <v>65</v>
      </c>
      <c r="L357" s="163">
        <v>1</v>
      </c>
      <c r="M357" s="163">
        <f>(158.5+155.5+165.5+123)-(141.5+137.5+154.5+114)</f>
        <v>55</v>
      </c>
      <c r="Q357" s="163" t="s">
        <v>232</v>
      </c>
      <c r="R357" s="17">
        <f t="shared" si="218"/>
        <v>0.24358378174893155</v>
      </c>
      <c r="S357" s="17" t="str">
        <f t="shared" ref="S355:S357" si="225">IF(AND(Y357&lt;&gt;0,AJ357&lt;&gt;0,$M357&lt;&gt;0),$M357/($X357*(AJ357/100)),"")</f>
        <v/>
      </c>
      <c r="T357" s="17">
        <f t="shared" ref="T355:T357" si="226">IF(AND(Z357&lt;&gt;0,AK357&lt;&gt;0,$M357&lt;&gt;0),$M357/($X357*(AK357/100)),"")</f>
        <v>6.7401960784313726</v>
      </c>
      <c r="U357" s="163" t="str">
        <f t="shared" si="222"/>
        <v>-</v>
      </c>
      <c r="V357" s="163" t="str">
        <f t="shared" si="223"/>
        <v>-</v>
      </c>
      <c r="W357" s="163" t="str">
        <f t="shared" si="224"/>
        <v>-</v>
      </c>
      <c r="X357" s="163">
        <v>1500</v>
      </c>
      <c r="Z357" s="163" t="str">
        <f t="shared" si="214"/>
        <v>-</v>
      </c>
      <c r="AA357" s="167"/>
      <c r="AD357" s="168"/>
      <c r="AE357" s="167"/>
      <c r="AG357" s="168"/>
      <c r="AH357" s="167"/>
      <c r="AI357" s="17">
        <v>15.053000000000001</v>
      </c>
      <c r="AJ357" s="17">
        <v>5.5E-2</v>
      </c>
      <c r="AK357" s="21">
        <v>0.54400000000000004</v>
      </c>
      <c r="AL357" s="167"/>
      <c r="AN357" s="168"/>
    </row>
    <row r="358" spans="1:40" x14ac:dyDescent="0.35">
      <c r="R358" s="17" t="str">
        <f t="shared" si="215"/>
        <v/>
      </c>
      <c r="S358" s="17" t="str">
        <f t="shared" si="216"/>
        <v/>
      </c>
      <c r="T358" s="17" t="str">
        <f t="shared" si="217"/>
        <v/>
      </c>
      <c r="U358" s="17" t="str">
        <f t="shared" si="222"/>
        <v>-</v>
      </c>
      <c r="V358" s="17" t="str">
        <f t="shared" si="223"/>
        <v>-</v>
      </c>
      <c r="W358" s="17" t="str">
        <f t="shared" si="224"/>
        <v>-</v>
      </c>
      <c r="Z358" s="17" t="str">
        <f t="shared" si="214"/>
        <v>-</v>
      </c>
    </row>
    <row r="359" spans="1:40" x14ac:dyDescent="0.35">
      <c r="R359" s="17" t="str">
        <f t="shared" si="215"/>
        <v/>
      </c>
      <c r="S359" s="17" t="str">
        <f t="shared" si="216"/>
        <v/>
      </c>
      <c r="T359" s="17" t="str">
        <f t="shared" si="217"/>
        <v/>
      </c>
      <c r="U359" s="17" t="str">
        <f t="shared" si="222"/>
        <v>-</v>
      </c>
      <c r="V359" s="17" t="str">
        <f t="shared" si="223"/>
        <v>-</v>
      </c>
      <c r="W359" s="17" t="str">
        <f t="shared" si="224"/>
        <v>-</v>
      </c>
      <c r="Z359" s="17" t="str">
        <f t="shared" si="214"/>
        <v>-</v>
      </c>
    </row>
    <row r="360" spans="1:40" x14ac:dyDescent="0.35">
      <c r="R360" s="17" t="str">
        <f t="shared" si="215"/>
        <v/>
      </c>
      <c r="S360" s="17" t="str">
        <f t="shared" si="216"/>
        <v/>
      </c>
      <c r="T360" s="17" t="str">
        <f t="shared" si="217"/>
        <v/>
      </c>
      <c r="U360" s="17" t="str">
        <f t="shared" si="222"/>
        <v>-</v>
      </c>
      <c r="V360" s="17" t="str">
        <f t="shared" si="223"/>
        <v>-</v>
      </c>
      <c r="W360" s="17" t="str">
        <f t="shared" si="224"/>
        <v>-</v>
      </c>
      <c r="Z360" s="17" t="str">
        <f t="shared" si="214"/>
        <v>-</v>
      </c>
    </row>
    <row r="361" spans="1:40" x14ac:dyDescent="0.35">
      <c r="R361" s="17" t="str">
        <f t="shared" si="215"/>
        <v/>
      </c>
      <c r="S361" s="17" t="str">
        <f t="shared" si="216"/>
        <v/>
      </c>
      <c r="T361" s="17" t="str">
        <f t="shared" si="217"/>
        <v/>
      </c>
      <c r="U361" s="17" t="str">
        <f t="shared" si="222"/>
        <v>-</v>
      </c>
      <c r="V361" s="17" t="str">
        <f t="shared" si="223"/>
        <v>-</v>
      </c>
      <c r="W361" s="17" t="str">
        <f t="shared" si="224"/>
        <v>-</v>
      </c>
      <c r="Z361" s="17" t="str">
        <f t="shared" si="214"/>
        <v>-</v>
      </c>
    </row>
    <row r="362" spans="1:40" x14ac:dyDescent="0.35">
      <c r="R362" s="17" t="str">
        <f t="shared" si="215"/>
        <v/>
      </c>
      <c r="S362" s="17" t="str">
        <f t="shared" si="216"/>
        <v/>
      </c>
      <c r="T362" s="17" t="str">
        <f t="shared" si="217"/>
        <v/>
      </c>
      <c r="U362" s="17" t="str">
        <f t="shared" si="222"/>
        <v>-</v>
      </c>
      <c r="V362" s="17" t="str">
        <f t="shared" si="223"/>
        <v>-</v>
      </c>
      <c r="W362" s="17" t="str">
        <f t="shared" si="224"/>
        <v>-</v>
      </c>
      <c r="Z362" s="17" t="str">
        <f t="shared" si="214"/>
        <v>-</v>
      </c>
    </row>
    <row r="363" spans="1:40" x14ac:dyDescent="0.35">
      <c r="R363" s="17" t="str">
        <f t="shared" si="215"/>
        <v/>
      </c>
      <c r="S363" s="17" t="str">
        <f t="shared" si="216"/>
        <v/>
      </c>
      <c r="T363" s="17" t="str">
        <f t="shared" si="217"/>
        <v/>
      </c>
      <c r="U363" s="17" t="str">
        <f t="shared" si="222"/>
        <v>-</v>
      </c>
      <c r="V363" s="17" t="str">
        <f t="shared" si="223"/>
        <v>-</v>
      </c>
      <c r="W363" s="17" t="str">
        <f t="shared" si="224"/>
        <v>-</v>
      </c>
      <c r="Z363" s="17" t="str">
        <f t="shared" si="214"/>
        <v>-</v>
      </c>
    </row>
    <row r="364" spans="1:40" x14ac:dyDescent="0.35">
      <c r="R364" s="17" t="str">
        <f t="shared" si="215"/>
        <v/>
      </c>
      <c r="S364" s="17" t="str">
        <f t="shared" si="216"/>
        <v/>
      </c>
      <c r="T364" s="17" t="str">
        <f t="shared" si="217"/>
        <v/>
      </c>
      <c r="U364" s="17" t="str">
        <f t="shared" si="222"/>
        <v>-</v>
      </c>
      <c r="V364" s="17" t="str">
        <f t="shared" si="223"/>
        <v>-</v>
      </c>
      <c r="W364" s="17" t="str">
        <f t="shared" si="224"/>
        <v>-</v>
      </c>
      <c r="Z364" s="17" t="str">
        <f t="shared" si="214"/>
        <v>-</v>
      </c>
    </row>
    <row r="365" spans="1:40" x14ac:dyDescent="0.35">
      <c r="R365" s="17" t="str">
        <f t="shared" si="215"/>
        <v/>
      </c>
      <c r="S365" s="17" t="str">
        <f t="shared" si="216"/>
        <v/>
      </c>
      <c r="T365" s="17" t="str">
        <f t="shared" si="217"/>
        <v/>
      </c>
      <c r="U365" s="17" t="str">
        <f t="shared" si="222"/>
        <v>-</v>
      </c>
      <c r="V365" s="17" t="str">
        <f t="shared" si="223"/>
        <v>-</v>
      </c>
      <c r="W365" s="17" t="str">
        <f t="shared" si="224"/>
        <v>-</v>
      </c>
      <c r="Z365" s="17" t="str">
        <f t="shared" si="214"/>
        <v>-</v>
      </c>
    </row>
    <row r="366" spans="1:40" x14ac:dyDescent="0.35">
      <c r="R366" s="17" t="str">
        <f t="shared" si="215"/>
        <v/>
      </c>
      <c r="S366" s="17" t="str">
        <f t="shared" si="216"/>
        <v/>
      </c>
      <c r="T366" s="17" t="str">
        <f t="shared" si="217"/>
        <v/>
      </c>
      <c r="U366" s="17" t="str">
        <f t="shared" si="222"/>
        <v>-</v>
      </c>
      <c r="V366" s="17" t="str">
        <f t="shared" si="223"/>
        <v>-</v>
      </c>
      <c r="W366" s="17" t="str">
        <f t="shared" si="224"/>
        <v>-</v>
      </c>
      <c r="Z366" s="17" t="str">
        <f t="shared" si="214"/>
        <v>-</v>
      </c>
    </row>
    <row r="367" spans="1:40" x14ac:dyDescent="0.35">
      <c r="R367" s="17" t="str">
        <f t="shared" si="215"/>
        <v/>
      </c>
      <c r="S367" s="17" t="str">
        <f t="shared" si="216"/>
        <v/>
      </c>
      <c r="T367" s="17" t="str">
        <f t="shared" si="217"/>
        <v/>
      </c>
      <c r="U367" s="17" t="str">
        <f t="shared" si="222"/>
        <v>-</v>
      </c>
      <c r="V367" s="17" t="str">
        <f t="shared" si="223"/>
        <v>-</v>
      </c>
      <c r="W367" s="17" t="str">
        <f t="shared" si="224"/>
        <v>-</v>
      </c>
      <c r="Z367" s="17" t="str">
        <f t="shared" si="214"/>
        <v>-</v>
      </c>
    </row>
    <row r="368" spans="1:40" x14ac:dyDescent="0.35">
      <c r="R368" s="17" t="str">
        <f t="shared" si="215"/>
        <v/>
      </c>
      <c r="S368" s="17" t="str">
        <f t="shared" si="216"/>
        <v/>
      </c>
      <c r="T368" s="17" t="str">
        <f t="shared" si="217"/>
        <v/>
      </c>
      <c r="U368" s="17" t="str">
        <f t="shared" si="222"/>
        <v>-</v>
      </c>
      <c r="V368" s="17" t="str">
        <f t="shared" si="223"/>
        <v>-</v>
      </c>
      <c r="W368" s="17" t="str">
        <f t="shared" si="224"/>
        <v>-</v>
      </c>
      <c r="Z368" s="17" t="str">
        <f t="shared" si="214"/>
        <v>-</v>
      </c>
    </row>
    <row r="369" spans="18:26" x14ac:dyDescent="0.35">
      <c r="R369" s="17" t="str">
        <f t="shared" si="215"/>
        <v/>
      </c>
      <c r="S369" s="17" t="str">
        <f t="shared" si="216"/>
        <v/>
      </c>
      <c r="T369" s="17" t="str">
        <f t="shared" si="217"/>
        <v/>
      </c>
      <c r="U369" s="17" t="str">
        <f t="shared" si="222"/>
        <v>-</v>
      </c>
      <c r="V369" s="17" t="str">
        <f t="shared" si="223"/>
        <v>-</v>
      </c>
      <c r="W369" s="17" t="str">
        <f t="shared" si="224"/>
        <v>-</v>
      </c>
      <c r="Z369" s="17" t="str">
        <f t="shared" si="214"/>
        <v>-</v>
      </c>
    </row>
    <row r="370" spans="18:26" x14ac:dyDescent="0.35">
      <c r="R370" s="17" t="str">
        <f t="shared" si="215"/>
        <v/>
      </c>
      <c r="S370" s="17" t="str">
        <f t="shared" si="216"/>
        <v/>
      </c>
      <c r="T370" s="17" t="str">
        <f t="shared" si="217"/>
        <v/>
      </c>
      <c r="U370" s="17" t="str">
        <f t="shared" si="222"/>
        <v>-</v>
      </c>
      <c r="V370" s="17" t="str">
        <f t="shared" si="223"/>
        <v>-</v>
      </c>
      <c r="W370" s="17" t="str">
        <f t="shared" si="224"/>
        <v>-</v>
      </c>
      <c r="Z370" s="17" t="str">
        <f t="shared" si="214"/>
        <v>-</v>
      </c>
    </row>
    <row r="371" spans="18:26" x14ac:dyDescent="0.35">
      <c r="R371" s="17" t="str">
        <f t="shared" si="215"/>
        <v/>
      </c>
      <c r="S371" s="17" t="str">
        <f t="shared" si="216"/>
        <v/>
      </c>
      <c r="T371" s="17" t="str">
        <f t="shared" si="217"/>
        <v/>
      </c>
      <c r="U371" s="17" t="str">
        <f t="shared" si="222"/>
        <v>-</v>
      </c>
      <c r="V371" s="17" t="str">
        <f t="shared" si="223"/>
        <v>-</v>
      </c>
      <c r="W371" s="17" t="str">
        <f t="shared" si="224"/>
        <v>-</v>
      </c>
      <c r="Z371" s="17" t="str">
        <f t="shared" si="214"/>
        <v>-</v>
      </c>
    </row>
    <row r="372" spans="18:26" x14ac:dyDescent="0.35">
      <c r="R372" s="17" t="str">
        <f t="shared" si="215"/>
        <v/>
      </c>
      <c r="S372" s="17" t="str">
        <f t="shared" si="216"/>
        <v/>
      </c>
      <c r="T372" s="17" t="str">
        <f t="shared" si="217"/>
        <v/>
      </c>
      <c r="U372" s="17" t="str">
        <f t="shared" si="222"/>
        <v>-</v>
      </c>
      <c r="V372" s="17" t="str">
        <f t="shared" si="223"/>
        <v>-</v>
      </c>
      <c r="W372" s="17" t="str">
        <f t="shared" si="224"/>
        <v>-</v>
      </c>
      <c r="Z372" s="17" t="str">
        <f t="shared" si="214"/>
        <v>-</v>
      </c>
    </row>
    <row r="373" spans="18:26" x14ac:dyDescent="0.35">
      <c r="R373" s="17" t="str">
        <f t="shared" si="215"/>
        <v/>
      </c>
      <c r="S373" s="17" t="str">
        <f t="shared" si="216"/>
        <v/>
      </c>
      <c r="T373" s="17" t="str">
        <f t="shared" si="217"/>
        <v/>
      </c>
      <c r="U373" s="17" t="str">
        <f t="shared" si="222"/>
        <v>-</v>
      </c>
      <c r="V373" s="17" t="str">
        <f t="shared" si="223"/>
        <v>-</v>
      </c>
      <c r="W373" s="17" t="str">
        <f t="shared" si="224"/>
        <v>-</v>
      </c>
      <c r="Z373" s="17" t="str">
        <f t="shared" si="214"/>
        <v>-</v>
      </c>
    </row>
    <row r="374" spans="18:26" x14ac:dyDescent="0.35">
      <c r="R374" s="17" t="str">
        <f t="shared" si="215"/>
        <v/>
      </c>
      <c r="S374" s="17" t="str">
        <f t="shared" si="216"/>
        <v/>
      </c>
      <c r="T374" s="17" t="str">
        <f t="shared" si="217"/>
        <v/>
      </c>
      <c r="U374" s="17" t="str">
        <f t="shared" si="222"/>
        <v>-</v>
      </c>
      <c r="V374" s="17" t="str">
        <f t="shared" si="223"/>
        <v>-</v>
      </c>
      <c r="W374" s="17" t="str">
        <f t="shared" si="224"/>
        <v>-</v>
      </c>
      <c r="Z374" s="17" t="str">
        <f t="shared" si="214"/>
        <v>-</v>
      </c>
    </row>
    <row r="375" spans="18:26" x14ac:dyDescent="0.35">
      <c r="R375" s="17" t="str">
        <f t="shared" si="215"/>
        <v/>
      </c>
      <c r="S375" s="17" t="str">
        <f t="shared" si="216"/>
        <v/>
      </c>
      <c r="T375" s="17" t="str">
        <f t="shared" si="217"/>
        <v/>
      </c>
      <c r="U375" s="17" t="str">
        <f t="shared" si="222"/>
        <v>-</v>
      </c>
      <c r="V375" s="17" t="str">
        <f t="shared" si="223"/>
        <v>-</v>
      </c>
      <c r="W375" s="17" t="str">
        <f t="shared" si="224"/>
        <v>-</v>
      </c>
      <c r="Z375" s="17" t="str">
        <f t="shared" si="214"/>
        <v>-</v>
      </c>
    </row>
    <row r="376" spans="18:26" x14ac:dyDescent="0.35">
      <c r="R376" s="17" t="str">
        <f t="shared" si="215"/>
        <v/>
      </c>
      <c r="S376" s="17" t="str">
        <f t="shared" si="216"/>
        <v/>
      </c>
      <c r="T376" s="17" t="str">
        <f t="shared" si="217"/>
        <v/>
      </c>
      <c r="U376" s="17" t="str">
        <f t="shared" si="222"/>
        <v>-</v>
      </c>
      <c r="V376" s="17" t="str">
        <f t="shared" si="223"/>
        <v>-</v>
      </c>
      <c r="W376" s="17" t="str">
        <f t="shared" si="224"/>
        <v>-</v>
      </c>
      <c r="Z376" s="17" t="str">
        <f t="shared" si="214"/>
        <v>-</v>
      </c>
    </row>
    <row r="377" spans="18:26" x14ac:dyDescent="0.35">
      <c r="R377" s="17" t="str">
        <f t="shared" si="215"/>
        <v/>
      </c>
      <c r="S377" s="17" t="str">
        <f t="shared" si="216"/>
        <v/>
      </c>
      <c r="T377" s="17" t="str">
        <f t="shared" si="217"/>
        <v/>
      </c>
      <c r="U377" s="17" t="str">
        <f t="shared" si="222"/>
        <v>-</v>
      </c>
      <c r="V377" s="17" t="str">
        <f t="shared" si="223"/>
        <v>-</v>
      </c>
      <c r="W377" s="17" t="str">
        <f t="shared" si="224"/>
        <v>-</v>
      </c>
      <c r="Z377" s="17" t="str">
        <f t="shared" si="214"/>
        <v>-</v>
      </c>
    </row>
    <row r="378" spans="18:26" x14ac:dyDescent="0.35">
      <c r="R378" s="17" t="str">
        <f t="shared" si="215"/>
        <v/>
      </c>
      <c r="S378" s="17" t="str">
        <f t="shared" si="216"/>
        <v/>
      </c>
      <c r="T378" s="17" t="str">
        <f t="shared" si="217"/>
        <v/>
      </c>
      <c r="U378" s="17" t="str">
        <f t="shared" si="222"/>
        <v>-</v>
      </c>
      <c r="V378" s="17" t="str">
        <f t="shared" si="223"/>
        <v>-</v>
      </c>
      <c r="W378" s="17" t="str">
        <f t="shared" si="224"/>
        <v>-</v>
      </c>
      <c r="Z378" s="17" t="str">
        <f t="shared" si="214"/>
        <v>-</v>
      </c>
    </row>
    <row r="379" spans="18:26" x14ac:dyDescent="0.35">
      <c r="R379" s="17" t="str">
        <f t="shared" si="215"/>
        <v/>
      </c>
      <c r="S379" s="17" t="str">
        <f t="shared" si="216"/>
        <v/>
      </c>
      <c r="T379" s="17" t="str">
        <f t="shared" si="217"/>
        <v/>
      </c>
      <c r="U379" s="17" t="str">
        <f t="shared" si="222"/>
        <v>-</v>
      </c>
      <c r="V379" s="17" t="str">
        <f t="shared" si="223"/>
        <v>-</v>
      </c>
      <c r="W379" s="17" t="str">
        <f t="shared" si="224"/>
        <v>-</v>
      </c>
      <c r="Z379" s="17" t="str">
        <f t="shared" si="214"/>
        <v>-</v>
      </c>
    </row>
    <row r="380" spans="18:26" x14ac:dyDescent="0.35">
      <c r="R380" s="17" t="str">
        <f t="shared" si="215"/>
        <v/>
      </c>
      <c r="S380" s="17" t="str">
        <f t="shared" si="216"/>
        <v/>
      </c>
      <c r="T380" s="17" t="str">
        <f t="shared" si="217"/>
        <v/>
      </c>
      <c r="U380" s="17" t="str">
        <f t="shared" si="222"/>
        <v>-</v>
      </c>
      <c r="V380" s="17" t="str">
        <f t="shared" si="223"/>
        <v>-</v>
      </c>
      <c r="W380" s="17" t="str">
        <f t="shared" si="224"/>
        <v>-</v>
      </c>
      <c r="Z380" s="17" t="str">
        <f t="shared" si="214"/>
        <v>-</v>
      </c>
    </row>
    <row r="381" spans="18:26" x14ac:dyDescent="0.35">
      <c r="R381" s="17" t="str">
        <f t="shared" si="215"/>
        <v/>
      </c>
      <c r="S381" s="17" t="str">
        <f t="shared" si="216"/>
        <v/>
      </c>
      <c r="T381" s="17" t="str">
        <f t="shared" si="217"/>
        <v/>
      </c>
      <c r="U381" s="17" t="str">
        <f t="shared" si="222"/>
        <v>-</v>
      </c>
      <c r="V381" s="17" t="str">
        <f t="shared" si="223"/>
        <v>-</v>
      </c>
      <c r="W381" s="17" t="str">
        <f t="shared" si="224"/>
        <v>-</v>
      </c>
      <c r="Z381" s="17" t="str">
        <f t="shared" si="214"/>
        <v>-</v>
      </c>
    </row>
    <row r="382" spans="18:26" x14ac:dyDescent="0.35">
      <c r="R382" s="17" t="str">
        <f t="shared" si="215"/>
        <v/>
      </c>
      <c r="S382" s="17" t="str">
        <f t="shared" si="216"/>
        <v/>
      </c>
      <c r="T382" s="17" t="str">
        <f t="shared" si="217"/>
        <v/>
      </c>
      <c r="U382" s="17" t="str">
        <f t="shared" si="222"/>
        <v>-</v>
      </c>
      <c r="V382" s="17" t="str">
        <f t="shared" si="223"/>
        <v>-</v>
      </c>
      <c r="W382" s="17" t="str">
        <f t="shared" si="224"/>
        <v>-</v>
      </c>
      <c r="Z382" s="17" t="str">
        <f t="shared" si="214"/>
        <v>-</v>
      </c>
    </row>
    <row r="383" spans="18:26" x14ac:dyDescent="0.35">
      <c r="R383" s="17" t="str">
        <f t="shared" si="215"/>
        <v/>
      </c>
      <c r="S383" s="17" t="str">
        <f t="shared" si="216"/>
        <v/>
      </c>
      <c r="T383" s="17" t="str">
        <f t="shared" si="217"/>
        <v/>
      </c>
      <c r="U383" s="17" t="str">
        <f t="shared" si="222"/>
        <v>-</v>
      </c>
      <c r="V383" s="17" t="str">
        <f t="shared" si="223"/>
        <v>-</v>
      </c>
      <c r="W383" s="17" t="str">
        <f t="shared" si="224"/>
        <v>-</v>
      </c>
      <c r="Z383" s="17" t="str">
        <f t="shared" si="214"/>
        <v>-</v>
      </c>
    </row>
    <row r="384" spans="18:26" x14ac:dyDescent="0.35">
      <c r="R384" s="17" t="str">
        <f t="shared" si="215"/>
        <v/>
      </c>
      <c r="S384" s="17" t="str">
        <f t="shared" si="216"/>
        <v/>
      </c>
      <c r="T384" s="17" t="str">
        <f t="shared" si="217"/>
        <v/>
      </c>
      <c r="U384" s="17" t="str">
        <f t="shared" si="222"/>
        <v>-</v>
      </c>
      <c r="V384" s="17" t="str">
        <f t="shared" si="223"/>
        <v>-</v>
      </c>
      <c r="W384" s="17" t="str">
        <f t="shared" si="224"/>
        <v>-</v>
      </c>
      <c r="Z384" s="17" t="str">
        <f t="shared" si="214"/>
        <v>-</v>
      </c>
    </row>
    <row r="385" spans="18:26" x14ac:dyDescent="0.35">
      <c r="R385" s="17" t="str">
        <f t="shared" si="215"/>
        <v/>
      </c>
      <c r="S385" s="17" t="str">
        <f t="shared" si="216"/>
        <v/>
      </c>
      <c r="T385" s="17" t="str">
        <f t="shared" si="217"/>
        <v/>
      </c>
      <c r="U385" s="17" t="str">
        <f t="shared" si="222"/>
        <v>-</v>
      </c>
      <c r="V385" s="17" t="str">
        <f t="shared" si="223"/>
        <v>-</v>
      </c>
      <c r="W385" s="17" t="str">
        <f t="shared" si="224"/>
        <v>-</v>
      </c>
      <c r="Z385" s="17" t="str">
        <f t="shared" si="214"/>
        <v>-</v>
      </c>
    </row>
    <row r="386" spans="18:26" x14ac:dyDescent="0.35">
      <c r="R386" s="17" t="str">
        <f t="shared" si="215"/>
        <v/>
      </c>
      <c r="S386" s="17" t="str">
        <f t="shared" si="216"/>
        <v/>
      </c>
      <c r="T386" s="17" t="str">
        <f t="shared" si="217"/>
        <v/>
      </c>
      <c r="U386" s="17" t="str">
        <f t="shared" si="222"/>
        <v>-</v>
      </c>
      <c r="V386" s="17" t="str">
        <f t="shared" si="223"/>
        <v>-</v>
      </c>
      <c r="W386" s="17" t="str">
        <f t="shared" si="224"/>
        <v>-</v>
      </c>
      <c r="Z386" s="17" t="str">
        <f t="shared" si="214"/>
        <v>-</v>
      </c>
    </row>
    <row r="387" spans="18:26" x14ac:dyDescent="0.35">
      <c r="R387" s="17" t="str">
        <f t="shared" si="215"/>
        <v/>
      </c>
      <c r="S387" s="17" t="str">
        <f t="shared" si="216"/>
        <v/>
      </c>
      <c r="T387" s="17" t="str">
        <f t="shared" si="217"/>
        <v/>
      </c>
      <c r="U387" s="17" t="str">
        <f t="shared" si="222"/>
        <v>-</v>
      </c>
      <c r="V387" s="17" t="str">
        <f t="shared" si="223"/>
        <v>-</v>
      </c>
      <c r="W387" s="17" t="str">
        <f t="shared" si="224"/>
        <v>-</v>
      </c>
      <c r="Z387" s="17" t="str">
        <f t="shared" si="214"/>
        <v>-</v>
      </c>
    </row>
    <row r="388" spans="18:26" x14ac:dyDescent="0.35">
      <c r="R388" s="17" t="str">
        <f t="shared" si="215"/>
        <v/>
      </c>
      <c r="S388" s="17" t="str">
        <f t="shared" si="216"/>
        <v/>
      </c>
      <c r="T388" s="17" t="str">
        <f t="shared" si="217"/>
        <v/>
      </c>
      <c r="U388" s="17" t="str">
        <f t="shared" si="222"/>
        <v>-</v>
      </c>
      <c r="V388" s="17" t="str">
        <f t="shared" si="223"/>
        <v>-</v>
      </c>
      <c r="W388" s="17" t="str">
        <f t="shared" si="224"/>
        <v>-</v>
      </c>
      <c r="Z388" s="17" t="str">
        <f t="shared" si="214"/>
        <v>-</v>
      </c>
    </row>
    <row r="389" spans="18:26" x14ac:dyDescent="0.35">
      <c r="R389" s="17" t="str">
        <f t="shared" si="215"/>
        <v/>
      </c>
      <c r="S389" s="17" t="str">
        <f t="shared" si="216"/>
        <v/>
      </c>
      <c r="T389" s="17" t="str">
        <f t="shared" si="217"/>
        <v/>
      </c>
      <c r="U389" s="17" t="str">
        <f t="shared" si="222"/>
        <v>-</v>
      </c>
      <c r="V389" s="17" t="str">
        <f t="shared" si="223"/>
        <v>-</v>
      </c>
      <c r="W389" s="17" t="str">
        <f t="shared" si="224"/>
        <v>-</v>
      </c>
      <c r="Z389" s="17" t="str">
        <f t="shared" si="214"/>
        <v>-</v>
      </c>
    </row>
    <row r="390" spans="18:26" x14ac:dyDescent="0.35">
      <c r="R390" s="17" t="str">
        <f t="shared" si="215"/>
        <v/>
      </c>
      <c r="S390" s="17" t="str">
        <f t="shared" si="216"/>
        <v/>
      </c>
      <c r="T390" s="17" t="str">
        <f t="shared" si="217"/>
        <v/>
      </c>
      <c r="U390" s="17" t="str">
        <f t="shared" si="222"/>
        <v>-</v>
      </c>
      <c r="V390" s="17" t="str">
        <f t="shared" si="223"/>
        <v>-</v>
      </c>
      <c r="W390" s="17" t="str">
        <f t="shared" si="224"/>
        <v>-</v>
      </c>
      <c r="Z390" s="17" t="str">
        <f t="shared" si="214"/>
        <v>-</v>
      </c>
    </row>
    <row r="391" spans="18:26" x14ac:dyDescent="0.35">
      <c r="R391" s="17" t="str">
        <f t="shared" si="215"/>
        <v/>
      </c>
      <c r="S391" s="17" t="str">
        <f t="shared" si="216"/>
        <v/>
      </c>
      <c r="T391" s="17" t="str">
        <f t="shared" si="217"/>
        <v/>
      </c>
      <c r="U391" s="17" t="str">
        <f t="shared" si="222"/>
        <v>-</v>
      </c>
      <c r="V391" s="17" t="str">
        <f t="shared" si="223"/>
        <v>-</v>
      </c>
      <c r="W391" s="17" t="str">
        <f t="shared" si="224"/>
        <v>-</v>
      </c>
      <c r="Z391" s="17" t="str">
        <f t="shared" si="214"/>
        <v>-</v>
      </c>
    </row>
    <row r="392" spans="18:26" x14ac:dyDescent="0.35">
      <c r="R392" s="17" t="str">
        <f t="shared" si="215"/>
        <v/>
      </c>
      <c r="S392" s="17" t="str">
        <f t="shared" si="216"/>
        <v/>
      </c>
      <c r="T392" s="17" t="str">
        <f t="shared" si="217"/>
        <v/>
      </c>
      <c r="U392" s="17" t="str">
        <f t="shared" si="222"/>
        <v>-</v>
      </c>
      <c r="V392" s="17" t="str">
        <f t="shared" si="223"/>
        <v>-</v>
      </c>
      <c r="W392" s="17" t="str">
        <f t="shared" si="224"/>
        <v>-</v>
      </c>
      <c r="Z392" s="17" t="str">
        <f t="shared" si="214"/>
        <v>-</v>
      </c>
    </row>
    <row r="393" spans="18:26" x14ac:dyDescent="0.35">
      <c r="R393" s="17" t="str">
        <f t="shared" si="215"/>
        <v/>
      </c>
      <c r="S393" s="17" t="str">
        <f t="shared" si="216"/>
        <v/>
      </c>
      <c r="T393" s="17" t="str">
        <f t="shared" si="217"/>
        <v/>
      </c>
      <c r="U393" s="17" t="str">
        <f t="shared" si="222"/>
        <v>-</v>
      </c>
      <c r="V393" s="17" t="str">
        <f t="shared" si="223"/>
        <v>-</v>
      </c>
      <c r="W393" s="17" t="str">
        <f t="shared" si="224"/>
        <v>-</v>
      </c>
      <c r="Z393" s="17" t="str">
        <f t="shared" si="214"/>
        <v>-</v>
      </c>
    </row>
    <row r="394" spans="18:26" x14ac:dyDescent="0.35">
      <c r="R394" s="17" t="str">
        <f t="shared" si="215"/>
        <v/>
      </c>
      <c r="S394" s="17" t="str">
        <f t="shared" si="216"/>
        <v/>
      </c>
      <c r="T394" s="17" t="str">
        <f t="shared" si="217"/>
        <v/>
      </c>
      <c r="U394" s="17" t="str">
        <f t="shared" si="222"/>
        <v>-</v>
      </c>
      <c r="V394" s="17" t="str">
        <f t="shared" si="223"/>
        <v>-</v>
      </c>
      <c r="W394" s="17" t="str">
        <f t="shared" si="224"/>
        <v>-</v>
      </c>
      <c r="Z394" s="17" t="str">
        <f t="shared" si="214"/>
        <v>-</v>
      </c>
    </row>
    <row r="395" spans="18:26" x14ac:dyDescent="0.35">
      <c r="R395" s="17" t="str">
        <f t="shared" si="215"/>
        <v/>
      </c>
      <c r="S395" s="17" t="str">
        <f t="shared" si="216"/>
        <v/>
      </c>
      <c r="T395" s="17" t="str">
        <f t="shared" si="217"/>
        <v/>
      </c>
      <c r="U395" s="17" t="str">
        <f t="shared" si="222"/>
        <v>-</v>
      </c>
      <c r="V395" s="17" t="str">
        <f t="shared" si="223"/>
        <v>-</v>
      </c>
      <c r="W395" s="17" t="str">
        <f t="shared" si="224"/>
        <v>-</v>
      </c>
      <c r="Z395" s="17" t="str">
        <f t="shared" si="214"/>
        <v>-</v>
      </c>
    </row>
    <row r="396" spans="18:26" x14ac:dyDescent="0.35">
      <c r="R396" s="17" t="str">
        <f t="shared" si="215"/>
        <v/>
      </c>
      <c r="S396" s="17" t="str">
        <f t="shared" si="216"/>
        <v/>
      </c>
      <c r="T396" s="17" t="str">
        <f t="shared" si="217"/>
        <v/>
      </c>
      <c r="U396" s="17" t="str">
        <f t="shared" si="222"/>
        <v>-</v>
      </c>
      <c r="V396" s="17" t="str">
        <f t="shared" si="223"/>
        <v>-</v>
      </c>
      <c r="W396" s="17" t="str">
        <f t="shared" si="224"/>
        <v>-</v>
      </c>
      <c r="Z396" s="17" t="str">
        <f t="shared" si="214"/>
        <v>-</v>
      </c>
    </row>
    <row r="397" spans="18:26" x14ac:dyDescent="0.35">
      <c r="R397" s="17" t="str">
        <f t="shared" si="215"/>
        <v/>
      </c>
      <c r="S397" s="17" t="str">
        <f t="shared" si="216"/>
        <v/>
      </c>
      <c r="T397" s="17" t="str">
        <f t="shared" si="217"/>
        <v/>
      </c>
      <c r="U397" s="17" t="str">
        <f t="shared" si="222"/>
        <v>-</v>
      </c>
      <c r="V397" s="17" t="str">
        <f t="shared" si="223"/>
        <v>-</v>
      </c>
      <c r="W397" s="17" t="str">
        <f t="shared" si="224"/>
        <v>-</v>
      </c>
      <c r="Z397" s="17" t="str">
        <f t="shared" si="214"/>
        <v>-</v>
      </c>
    </row>
    <row r="398" spans="18:26" x14ac:dyDescent="0.35">
      <c r="R398" s="17" t="str">
        <f t="shared" si="215"/>
        <v/>
      </c>
      <c r="S398" s="17" t="str">
        <f t="shared" si="216"/>
        <v/>
      </c>
      <c r="T398" s="17" t="str">
        <f t="shared" si="217"/>
        <v/>
      </c>
      <c r="U398" s="17" t="str">
        <f t="shared" si="222"/>
        <v>-</v>
      </c>
      <c r="V398" s="17" t="str">
        <f t="shared" si="223"/>
        <v>-</v>
      </c>
      <c r="W398" s="17" t="str">
        <f t="shared" si="224"/>
        <v>-</v>
      </c>
      <c r="Z398" s="17" t="str">
        <f t="shared" si="214"/>
        <v>-</v>
      </c>
    </row>
    <row r="399" spans="18:26" x14ac:dyDescent="0.35">
      <c r="R399" s="17" t="str">
        <f t="shared" si="215"/>
        <v/>
      </c>
      <c r="S399" s="17" t="str">
        <f t="shared" si="216"/>
        <v/>
      </c>
      <c r="T399" s="17" t="str">
        <f t="shared" si="217"/>
        <v/>
      </c>
      <c r="U399" s="17" t="str">
        <f t="shared" si="222"/>
        <v>-</v>
      </c>
      <c r="V399" s="17" t="str">
        <f t="shared" si="223"/>
        <v>-</v>
      </c>
      <c r="W399" s="17" t="str">
        <f t="shared" si="224"/>
        <v>-</v>
      </c>
      <c r="Z399" s="17" t="str">
        <f t="shared" si="214"/>
        <v>-</v>
      </c>
    </row>
    <row r="400" spans="18:26" x14ac:dyDescent="0.35">
      <c r="R400" s="17" t="str">
        <f t="shared" si="215"/>
        <v/>
      </c>
      <c r="S400" s="17" t="str">
        <f t="shared" si="216"/>
        <v/>
      </c>
      <c r="T400" s="17" t="str">
        <f t="shared" si="217"/>
        <v/>
      </c>
      <c r="U400" s="17" t="str">
        <f t="shared" si="222"/>
        <v>-</v>
      </c>
      <c r="V400" s="17" t="str">
        <f t="shared" si="223"/>
        <v>-</v>
      </c>
      <c r="W400" s="17" t="str">
        <f t="shared" si="224"/>
        <v>-</v>
      </c>
      <c r="Z400" s="17" t="str">
        <f t="shared" si="214"/>
        <v>-</v>
      </c>
    </row>
    <row r="401" spans="18:26" x14ac:dyDescent="0.35">
      <c r="R401" s="17" t="str">
        <f t="shared" si="215"/>
        <v/>
      </c>
      <c r="S401" s="17" t="str">
        <f t="shared" si="216"/>
        <v/>
      </c>
      <c r="T401" s="17" t="str">
        <f t="shared" si="217"/>
        <v/>
      </c>
      <c r="U401" s="17" t="str">
        <f t="shared" si="222"/>
        <v>-</v>
      </c>
      <c r="V401" s="17" t="str">
        <f t="shared" si="223"/>
        <v>-</v>
      </c>
      <c r="W401" s="17" t="str">
        <f t="shared" si="224"/>
        <v>-</v>
      </c>
      <c r="Z401" s="17" t="str">
        <f t="shared" si="214"/>
        <v>-</v>
      </c>
    </row>
    <row r="402" spans="18:26" x14ac:dyDescent="0.35">
      <c r="R402" s="17" t="str">
        <f t="shared" si="215"/>
        <v/>
      </c>
      <c r="S402" s="17" t="str">
        <f t="shared" si="216"/>
        <v/>
      </c>
      <c r="T402" s="17" t="str">
        <f t="shared" si="217"/>
        <v/>
      </c>
      <c r="U402" s="17" t="str">
        <f t="shared" si="222"/>
        <v>-</v>
      </c>
      <c r="V402" s="17" t="str">
        <f t="shared" si="223"/>
        <v>-</v>
      </c>
      <c r="W402" s="17" t="str">
        <f t="shared" si="224"/>
        <v>-</v>
      </c>
      <c r="Z402" s="17" t="str">
        <f t="shared" si="214"/>
        <v>-</v>
      </c>
    </row>
    <row r="403" spans="18:26" x14ac:dyDescent="0.35">
      <c r="R403" s="17" t="str">
        <f t="shared" si="215"/>
        <v/>
      </c>
      <c r="S403" s="17" t="str">
        <f t="shared" si="216"/>
        <v/>
      </c>
      <c r="T403" s="17" t="str">
        <f t="shared" si="217"/>
        <v/>
      </c>
      <c r="U403" s="17" t="str">
        <f t="shared" si="222"/>
        <v>-</v>
      </c>
      <c r="V403" s="17" t="str">
        <f t="shared" si="223"/>
        <v>-</v>
      </c>
      <c r="W403" s="17" t="str">
        <f t="shared" si="224"/>
        <v>-</v>
      </c>
      <c r="Z403" s="17" t="str">
        <f t="shared" si="214"/>
        <v>-</v>
      </c>
    </row>
    <row r="404" spans="18:26" x14ac:dyDescent="0.35">
      <c r="R404" s="17" t="str">
        <f t="shared" si="215"/>
        <v/>
      </c>
      <c r="S404" s="17" t="str">
        <f t="shared" si="216"/>
        <v/>
      </c>
      <c r="T404" s="17" t="str">
        <f t="shared" si="217"/>
        <v/>
      </c>
      <c r="U404" s="17" t="str">
        <f t="shared" si="222"/>
        <v>-</v>
      </c>
      <c r="V404" s="17" t="str">
        <f t="shared" si="223"/>
        <v>-</v>
      </c>
      <c r="W404" s="17" t="str">
        <f t="shared" si="224"/>
        <v>-</v>
      </c>
      <c r="Z404" s="17" t="str">
        <f t="shared" si="214"/>
        <v>-</v>
      </c>
    </row>
    <row r="405" spans="18:26" x14ac:dyDescent="0.35">
      <c r="R405" s="17" t="str">
        <f t="shared" si="215"/>
        <v/>
      </c>
      <c r="S405" s="17" t="str">
        <f t="shared" si="216"/>
        <v/>
      </c>
      <c r="T405" s="17" t="str">
        <f t="shared" si="217"/>
        <v/>
      </c>
      <c r="U405" s="17" t="str">
        <f t="shared" si="222"/>
        <v>-</v>
      </c>
      <c r="V405" s="17" t="str">
        <f t="shared" si="223"/>
        <v>-</v>
      </c>
      <c r="W405" s="17" t="str">
        <f t="shared" si="224"/>
        <v>-</v>
      </c>
      <c r="Z405" s="17" t="str">
        <f t="shared" si="214"/>
        <v>-</v>
      </c>
    </row>
    <row r="406" spans="18:26" x14ac:dyDescent="0.35">
      <c r="R406" s="17" t="str">
        <f t="shared" si="215"/>
        <v/>
      </c>
      <c r="S406" s="17" t="str">
        <f t="shared" si="216"/>
        <v/>
      </c>
      <c r="T406" s="17" t="str">
        <f t="shared" si="217"/>
        <v/>
      </c>
      <c r="U406" s="17" t="str">
        <f t="shared" si="222"/>
        <v>-</v>
      </c>
      <c r="V406" s="17" t="str">
        <f t="shared" si="223"/>
        <v>-</v>
      </c>
      <c r="W406" s="17" t="str">
        <f t="shared" si="224"/>
        <v>-</v>
      </c>
      <c r="Z406" s="17" t="str">
        <f t="shared" si="214"/>
        <v>-</v>
      </c>
    </row>
    <row r="407" spans="18:26" x14ac:dyDescent="0.35">
      <c r="R407" s="17" t="str">
        <f t="shared" si="215"/>
        <v/>
      </c>
      <c r="S407" s="17" t="str">
        <f t="shared" si="216"/>
        <v/>
      </c>
      <c r="T407" s="17" t="str">
        <f t="shared" si="217"/>
        <v/>
      </c>
      <c r="U407" s="17" t="str">
        <f t="shared" si="222"/>
        <v>-</v>
      </c>
      <c r="V407" s="17" t="str">
        <f t="shared" si="223"/>
        <v>-</v>
      </c>
      <c r="W407" s="17" t="str">
        <f t="shared" si="224"/>
        <v>-</v>
      </c>
      <c r="Z407" s="17" t="str">
        <f t="shared" si="214"/>
        <v>-</v>
      </c>
    </row>
    <row r="408" spans="18:26" x14ac:dyDescent="0.35">
      <c r="R408" s="17" t="str">
        <f t="shared" si="215"/>
        <v/>
      </c>
      <c r="S408" s="17" t="str">
        <f t="shared" si="216"/>
        <v/>
      </c>
      <c r="T408" s="17" t="str">
        <f t="shared" si="217"/>
        <v/>
      </c>
      <c r="U408" s="17" t="str">
        <f t="shared" si="222"/>
        <v>-</v>
      </c>
      <c r="V408" s="17" t="str">
        <f t="shared" si="223"/>
        <v>-</v>
      </c>
      <c r="W408" s="17" t="str">
        <f t="shared" si="224"/>
        <v>-</v>
      </c>
      <c r="Z408" s="17" t="str">
        <f t="shared" si="214"/>
        <v>-</v>
      </c>
    </row>
    <row r="409" spans="18:26" x14ac:dyDescent="0.35">
      <c r="R409" s="17" t="str">
        <f t="shared" si="215"/>
        <v/>
      </c>
      <c r="S409" s="17" t="str">
        <f t="shared" si="216"/>
        <v/>
      </c>
      <c r="T409" s="17" t="str">
        <f t="shared" si="217"/>
        <v/>
      </c>
      <c r="U409" s="17" t="str">
        <f t="shared" si="222"/>
        <v>-</v>
      </c>
      <c r="V409" s="17" t="str">
        <f t="shared" si="223"/>
        <v>-</v>
      </c>
      <c r="W409" s="17" t="str">
        <f t="shared" si="224"/>
        <v>-</v>
      </c>
      <c r="Z409" s="17" t="str">
        <f t="shared" si="214"/>
        <v>-</v>
      </c>
    </row>
    <row r="410" spans="18:26" x14ac:dyDescent="0.35">
      <c r="R410" s="17" t="str">
        <f t="shared" si="215"/>
        <v/>
      </c>
      <c r="S410" s="17" t="str">
        <f t="shared" si="216"/>
        <v/>
      </c>
      <c r="T410" s="17" t="str">
        <f t="shared" si="217"/>
        <v/>
      </c>
      <c r="U410" s="17" t="str">
        <f t="shared" si="222"/>
        <v>-</v>
      </c>
      <c r="V410" s="17" t="str">
        <f t="shared" si="223"/>
        <v>-</v>
      </c>
      <c r="W410" s="17" t="str">
        <f t="shared" si="224"/>
        <v>-</v>
      </c>
      <c r="Z410" s="17" t="str">
        <f t="shared" si="214"/>
        <v>-</v>
      </c>
    </row>
    <row r="411" spans="18:26" x14ac:dyDescent="0.35">
      <c r="R411" s="17" t="str">
        <f t="shared" si="215"/>
        <v/>
      </c>
      <c r="S411" s="17" t="str">
        <f t="shared" si="216"/>
        <v/>
      </c>
      <c r="T411" s="17" t="str">
        <f t="shared" si="217"/>
        <v/>
      </c>
      <c r="U411" s="17" t="str">
        <f t="shared" si="222"/>
        <v>-</v>
      </c>
      <c r="V411" s="17" t="str">
        <f t="shared" si="223"/>
        <v>-</v>
      </c>
      <c r="W411" s="17" t="str">
        <f t="shared" si="224"/>
        <v>-</v>
      </c>
      <c r="Z411" s="17" t="str">
        <f t="shared" si="214"/>
        <v>-</v>
      </c>
    </row>
    <row r="412" spans="18:26" x14ac:dyDescent="0.35">
      <c r="R412" s="17" t="str">
        <f t="shared" si="215"/>
        <v/>
      </c>
      <c r="S412" s="17" t="str">
        <f t="shared" si="216"/>
        <v/>
      </c>
      <c r="T412" s="17" t="str">
        <f t="shared" si="217"/>
        <v/>
      </c>
      <c r="U412" s="17" t="str">
        <f t="shared" si="222"/>
        <v>-</v>
      </c>
      <c r="V412" s="17" t="str">
        <f t="shared" si="223"/>
        <v>-</v>
      </c>
      <c r="W412" s="17" t="str">
        <f t="shared" si="224"/>
        <v>-</v>
      </c>
      <c r="Z412" s="17" t="str">
        <f t="shared" si="214"/>
        <v>-</v>
      </c>
    </row>
    <row r="413" spans="18:26" x14ac:dyDescent="0.35">
      <c r="R413" s="17" t="str">
        <f t="shared" si="215"/>
        <v/>
      </c>
      <c r="S413" s="17" t="str">
        <f t="shared" si="216"/>
        <v/>
      </c>
      <c r="T413" s="17" t="str">
        <f t="shared" si="217"/>
        <v/>
      </c>
      <c r="U413" s="17" t="str">
        <f t="shared" si="222"/>
        <v>-</v>
      </c>
      <c r="V413" s="17" t="str">
        <f t="shared" si="223"/>
        <v>-</v>
      </c>
      <c r="W413" s="17" t="str">
        <f t="shared" si="224"/>
        <v>-</v>
      </c>
      <c r="Z413" s="17" t="str">
        <f t="shared" ref="Z413:Z455" si="227">IF(Y413,1-Y413/X413,"-")</f>
        <v>-</v>
      </c>
    </row>
    <row r="414" spans="18:26" x14ac:dyDescent="0.35">
      <c r="R414" s="17" t="str">
        <f t="shared" si="215"/>
        <v/>
      </c>
      <c r="S414" s="17" t="str">
        <f t="shared" si="216"/>
        <v/>
      </c>
      <c r="T414" s="17" t="str">
        <f t="shared" si="217"/>
        <v/>
      </c>
      <c r="U414" s="17" t="str">
        <f t="shared" si="222"/>
        <v>-</v>
      </c>
      <c r="V414" s="17" t="str">
        <f t="shared" si="223"/>
        <v>-</v>
      </c>
      <c r="W414" s="17" t="str">
        <f t="shared" si="224"/>
        <v>-</v>
      </c>
      <c r="Z414" s="17" t="str">
        <f t="shared" si="227"/>
        <v>-</v>
      </c>
    </row>
    <row r="415" spans="18:26" x14ac:dyDescent="0.35">
      <c r="R415" s="17" t="str">
        <f t="shared" si="215"/>
        <v/>
      </c>
      <c r="S415" s="17" t="str">
        <f t="shared" si="216"/>
        <v/>
      </c>
      <c r="T415" s="17" t="str">
        <f t="shared" si="217"/>
        <v/>
      </c>
      <c r="U415" s="17" t="str">
        <f t="shared" si="222"/>
        <v>-</v>
      </c>
      <c r="V415" s="17" t="str">
        <f t="shared" si="223"/>
        <v>-</v>
      </c>
      <c r="W415" s="17" t="str">
        <f t="shared" si="224"/>
        <v>-</v>
      </c>
      <c r="Z415" s="17" t="str">
        <f t="shared" si="227"/>
        <v>-</v>
      </c>
    </row>
    <row r="416" spans="18:26" x14ac:dyDescent="0.35">
      <c r="R416" s="17" t="str">
        <f t="shared" ref="R416:R455" si="228">IF(AND(X416&lt;&gt;0,AI416&lt;&gt;0,$M416&lt;&gt;0),$M416/($X416*(AI416/100)),"")</f>
        <v/>
      </c>
      <c r="S416" s="17" t="str">
        <f t="shared" ref="S416:S455" si="229">IF(AND(Y416&lt;&gt;0,AJ416&lt;&gt;0,$M416&lt;&gt;0),$M416/($X416*(AJ416/100)),"")</f>
        <v/>
      </c>
      <c r="T416" s="17" t="str">
        <f t="shared" ref="T416:T455" si="230">IF(AND(Z416&lt;&gt;0,AK416&lt;&gt;0,$M416&lt;&gt;0),$M416/($X416*(AK416/100)),"")</f>
        <v/>
      </c>
      <c r="U416" s="17" t="str">
        <f t="shared" si="222"/>
        <v>-</v>
      </c>
      <c r="V416" s="17" t="str">
        <f t="shared" si="223"/>
        <v>-</v>
      </c>
      <c r="W416" s="17" t="str">
        <f t="shared" si="224"/>
        <v>-</v>
      </c>
      <c r="Z416" s="17" t="str">
        <f t="shared" si="227"/>
        <v>-</v>
      </c>
    </row>
    <row r="417" spans="18:26" x14ac:dyDescent="0.35">
      <c r="R417" s="17" t="str">
        <f t="shared" si="228"/>
        <v/>
      </c>
      <c r="S417" s="17" t="str">
        <f t="shared" si="229"/>
        <v/>
      </c>
      <c r="T417" s="17" t="str">
        <f t="shared" si="230"/>
        <v/>
      </c>
      <c r="U417" s="17" t="str">
        <f t="shared" si="222"/>
        <v>-</v>
      </c>
      <c r="V417" s="17" t="str">
        <f t="shared" si="223"/>
        <v>-</v>
      </c>
      <c r="W417" s="17" t="str">
        <f t="shared" si="224"/>
        <v>-</v>
      </c>
      <c r="Z417" s="17" t="str">
        <f t="shared" si="227"/>
        <v>-</v>
      </c>
    </row>
    <row r="418" spans="18:26" x14ac:dyDescent="0.35">
      <c r="R418" s="17" t="str">
        <f t="shared" si="228"/>
        <v/>
      </c>
      <c r="S418" s="17" t="str">
        <f t="shared" si="229"/>
        <v/>
      </c>
      <c r="T418" s="17" t="str">
        <f t="shared" si="230"/>
        <v/>
      </c>
      <c r="U418" s="17" t="str">
        <f t="shared" si="222"/>
        <v>-</v>
      </c>
      <c r="V418" s="17" t="str">
        <f t="shared" si="223"/>
        <v>-</v>
      </c>
      <c r="W418" s="17" t="str">
        <f t="shared" si="224"/>
        <v>-</v>
      </c>
      <c r="Z418" s="17" t="str">
        <f t="shared" si="227"/>
        <v>-</v>
      </c>
    </row>
    <row r="419" spans="18:26" x14ac:dyDescent="0.35">
      <c r="R419" s="17" t="str">
        <f t="shared" si="228"/>
        <v/>
      </c>
      <c r="S419" s="17" t="str">
        <f t="shared" si="229"/>
        <v/>
      </c>
      <c r="T419" s="17" t="str">
        <f t="shared" si="230"/>
        <v/>
      </c>
      <c r="U419" s="17" t="str">
        <f t="shared" si="222"/>
        <v>-</v>
      </c>
      <c r="V419" s="17" t="str">
        <f t="shared" si="223"/>
        <v>-</v>
      </c>
      <c r="W419" s="17" t="str">
        <f t="shared" si="224"/>
        <v>-</v>
      </c>
      <c r="Z419" s="17" t="str">
        <f t="shared" si="227"/>
        <v>-</v>
      </c>
    </row>
    <row r="420" spans="18:26" x14ac:dyDescent="0.35">
      <c r="R420" s="17" t="str">
        <f t="shared" si="228"/>
        <v/>
      </c>
      <c r="S420" s="17" t="str">
        <f t="shared" si="229"/>
        <v/>
      </c>
      <c r="T420" s="17" t="str">
        <f t="shared" si="230"/>
        <v/>
      </c>
      <c r="U420" s="17" t="str">
        <f t="shared" ref="U420:U454" si="231">IF(AB420&lt;&gt;"",(AI420-AB420)/AI420,"-")</f>
        <v>-</v>
      </c>
      <c r="V420" s="17" t="str">
        <f t="shared" ref="V420:V454" si="232">IF(AC420&lt;&gt;"",(AJ420-AC420)/AJ420,"-")</f>
        <v>-</v>
      </c>
      <c r="W420" s="17" t="str">
        <f t="shared" ref="W420:W454" si="233">IF(AD420&lt;&gt;"",(AK420-AD420)/AK420,"-")</f>
        <v>-</v>
      </c>
      <c r="Z420" s="17" t="str">
        <f t="shared" si="227"/>
        <v>-</v>
      </c>
    </row>
    <row r="421" spans="18:26" x14ac:dyDescent="0.35">
      <c r="R421" s="17" t="str">
        <f t="shared" si="228"/>
        <v/>
      </c>
      <c r="S421" s="17" t="str">
        <f t="shared" si="229"/>
        <v/>
      </c>
      <c r="T421" s="17" t="str">
        <f t="shared" si="230"/>
        <v/>
      </c>
      <c r="U421" s="17" t="str">
        <f t="shared" si="231"/>
        <v>-</v>
      </c>
      <c r="V421" s="17" t="str">
        <f t="shared" si="232"/>
        <v>-</v>
      </c>
      <c r="W421" s="17" t="str">
        <f t="shared" si="233"/>
        <v>-</v>
      </c>
      <c r="Z421" s="17" t="str">
        <f t="shared" si="227"/>
        <v>-</v>
      </c>
    </row>
    <row r="422" spans="18:26" x14ac:dyDescent="0.35">
      <c r="R422" s="17" t="str">
        <f t="shared" si="228"/>
        <v/>
      </c>
      <c r="S422" s="17" t="str">
        <f t="shared" si="229"/>
        <v/>
      </c>
      <c r="T422" s="17" t="str">
        <f t="shared" si="230"/>
        <v/>
      </c>
      <c r="U422" s="17" t="str">
        <f t="shared" si="231"/>
        <v>-</v>
      </c>
      <c r="V422" s="17" t="str">
        <f t="shared" si="232"/>
        <v>-</v>
      </c>
      <c r="W422" s="17" t="str">
        <f t="shared" si="233"/>
        <v>-</v>
      </c>
      <c r="Z422" s="17" t="str">
        <f t="shared" si="227"/>
        <v>-</v>
      </c>
    </row>
    <row r="423" spans="18:26" x14ac:dyDescent="0.35">
      <c r="R423" s="17" t="str">
        <f t="shared" si="228"/>
        <v/>
      </c>
      <c r="S423" s="17" t="str">
        <f t="shared" si="229"/>
        <v/>
      </c>
      <c r="T423" s="17" t="str">
        <f t="shared" si="230"/>
        <v/>
      </c>
      <c r="U423" s="17" t="str">
        <f t="shared" si="231"/>
        <v>-</v>
      </c>
      <c r="V423" s="17" t="str">
        <f t="shared" si="232"/>
        <v>-</v>
      </c>
      <c r="W423" s="17" t="str">
        <f t="shared" si="233"/>
        <v>-</v>
      </c>
      <c r="Z423" s="17" t="str">
        <f t="shared" si="227"/>
        <v>-</v>
      </c>
    </row>
    <row r="424" spans="18:26" x14ac:dyDescent="0.35">
      <c r="R424" s="17" t="str">
        <f t="shared" si="228"/>
        <v/>
      </c>
      <c r="S424" s="17" t="str">
        <f t="shared" si="229"/>
        <v/>
      </c>
      <c r="T424" s="17" t="str">
        <f t="shared" si="230"/>
        <v/>
      </c>
      <c r="U424" s="17" t="str">
        <f t="shared" si="231"/>
        <v>-</v>
      </c>
      <c r="V424" s="17" t="str">
        <f t="shared" si="232"/>
        <v>-</v>
      </c>
      <c r="W424" s="17" t="str">
        <f t="shared" si="233"/>
        <v>-</v>
      </c>
      <c r="Z424" s="17" t="str">
        <f t="shared" si="227"/>
        <v>-</v>
      </c>
    </row>
    <row r="425" spans="18:26" x14ac:dyDescent="0.35">
      <c r="R425" s="17" t="str">
        <f t="shared" si="228"/>
        <v/>
      </c>
      <c r="S425" s="17" t="str">
        <f t="shared" si="229"/>
        <v/>
      </c>
      <c r="T425" s="17" t="str">
        <f t="shared" si="230"/>
        <v/>
      </c>
      <c r="U425" s="17" t="str">
        <f t="shared" si="231"/>
        <v>-</v>
      </c>
      <c r="V425" s="17" t="str">
        <f t="shared" si="232"/>
        <v>-</v>
      </c>
      <c r="W425" s="17" t="str">
        <f t="shared" si="233"/>
        <v>-</v>
      </c>
      <c r="Z425" s="17" t="str">
        <f t="shared" si="227"/>
        <v>-</v>
      </c>
    </row>
    <row r="426" spans="18:26" x14ac:dyDescent="0.35">
      <c r="R426" s="17" t="str">
        <f t="shared" si="228"/>
        <v/>
      </c>
      <c r="S426" s="17" t="str">
        <f t="shared" si="229"/>
        <v/>
      </c>
      <c r="T426" s="17" t="str">
        <f t="shared" si="230"/>
        <v/>
      </c>
      <c r="U426" s="17" t="str">
        <f t="shared" si="231"/>
        <v>-</v>
      </c>
      <c r="V426" s="17" t="str">
        <f t="shared" si="232"/>
        <v>-</v>
      </c>
      <c r="W426" s="17" t="str">
        <f t="shared" si="233"/>
        <v>-</v>
      </c>
      <c r="Z426" s="17" t="str">
        <f t="shared" si="227"/>
        <v>-</v>
      </c>
    </row>
    <row r="427" spans="18:26" x14ac:dyDescent="0.35">
      <c r="R427" s="17" t="str">
        <f t="shared" si="228"/>
        <v/>
      </c>
      <c r="S427" s="17" t="str">
        <f t="shared" si="229"/>
        <v/>
      </c>
      <c r="T427" s="17" t="str">
        <f t="shared" si="230"/>
        <v/>
      </c>
      <c r="U427" s="17" t="str">
        <f t="shared" si="231"/>
        <v>-</v>
      </c>
      <c r="V427" s="17" t="str">
        <f t="shared" si="232"/>
        <v>-</v>
      </c>
      <c r="W427" s="17" t="str">
        <f t="shared" si="233"/>
        <v>-</v>
      </c>
      <c r="Z427" s="17" t="str">
        <f t="shared" si="227"/>
        <v>-</v>
      </c>
    </row>
    <row r="428" spans="18:26" x14ac:dyDescent="0.35">
      <c r="R428" s="17" t="str">
        <f t="shared" si="228"/>
        <v/>
      </c>
      <c r="S428" s="17" t="str">
        <f t="shared" si="229"/>
        <v/>
      </c>
      <c r="T428" s="17" t="str">
        <f t="shared" si="230"/>
        <v/>
      </c>
      <c r="U428" s="17" t="str">
        <f t="shared" si="231"/>
        <v>-</v>
      </c>
      <c r="V428" s="17" t="str">
        <f t="shared" si="232"/>
        <v>-</v>
      </c>
      <c r="W428" s="17" t="str">
        <f t="shared" si="233"/>
        <v>-</v>
      </c>
      <c r="Z428" s="17" t="str">
        <f t="shared" si="227"/>
        <v>-</v>
      </c>
    </row>
    <row r="429" spans="18:26" x14ac:dyDescent="0.35">
      <c r="R429" s="17" t="str">
        <f t="shared" si="228"/>
        <v/>
      </c>
      <c r="S429" s="17" t="str">
        <f t="shared" si="229"/>
        <v/>
      </c>
      <c r="T429" s="17" t="str">
        <f t="shared" si="230"/>
        <v/>
      </c>
      <c r="U429" s="17" t="str">
        <f t="shared" si="231"/>
        <v>-</v>
      </c>
      <c r="V429" s="17" t="str">
        <f t="shared" si="232"/>
        <v>-</v>
      </c>
      <c r="W429" s="17" t="str">
        <f t="shared" si="233"/>
        <v>-</v>
      </c>
      <c r="Z429" s="17" t="str">
        <f t="shared" si="227"/>
        <v>-</v>
      </c>
    </row>
    <row r="430" spans="18:26" x14ac:dyDescent="0.35">
      <c r="R430" s="17" t="str">
        <f t="shared" si="228"/>
        <v/>
      </c>
      <c r="S430" s="17" t="str">
        <f t="shared" si="229"/>
        <v/>
      </c>
      <c r="T430" s="17" t="str">
        <f t="shared" si="230"/>
        <v/>
      </c>
      <c r="U430" s="17" t="str">
        <f t="shared" si="231"/>
        <v>-</v>
      </c>
      <c r="V430" s="17" t="str">
        <f t="shared" si="232"/>
        <v>-</v>
      </c>
      <c r="W430" s="17" t="str">
        <f t="shared" si="233"/>
        <v>-</v>
      </c>
      <c r="Z430" s="17" t="str">
        <f t="shared" si="227"/>
        <v>-</v>
      </c>
    </row>
    <row r="431" spans="18:26" x14ac:dyDescent="0.35">
      <c r="R431" s="17" t="str">
        <f t="shared" si="228"/>
        <v/>
      </c>
      <c r="S431" s="17" t="str">
        <f t="shared" si="229"/>
        <v/>
      </c>
      <c r="T431" s="17" t="str">
        <f t="shared" si="230"/>
        <v/>
      </c>
      <c r="U431" s="17" t="str">
        <f t="shared" si="231"/>
        <v>-</v>
      </c>
      <c r="V431" s="17" t="str">
        <f t="shared" si="232"/>
        <v>-</v>
      </c>
      <c r="W431" s="17" t="str">
        <f t="shared" si="233"/>
        <v>-</v>
      </c>
      <c r="Z431" s="17" t="str">
        <f t="shared" si="227"/>
        <v>-</v>
      </c>
    </row>
    <row r="432" spans="18:26" x14ac:dyDescent="0.35">
      <c r="R432" s="17" t="str">
        <f t="shared" si="228"/>
        <v/>
      </c>
      <c r="S432" s="17" t="str">
        <f t="shared" si="229"/>
        <v/>
      </c>
      <c r="T432" s="17" t="str">
        <f t="shared" si="230"/>
        <v/>
      </c>
      <c r="U432" s="17" t="str">
        <f t="shared" si="231"/>
        <v>-</v>
      </c>
      <c r="V432" s="17" t="str">
        <f t="shared" si="232"/>
        <v>-</v>
      </c>
      <c r="W432" s="17" t="str">
        <f t="shared" si="233"/>
        <v>-</v>
      </c>
      <c r="Z432" s="17" t="str">
        <f t="shared" si="227"/>
        <v>-</v>
      </c>
    </row>
    <row r="433" spans="18:26" x14ac:dyDescent="0.35">
      <c r="R433" s="17" t="str">
        <f t="shared" si="228"/>
        <v/>
      </c>
      <c r="S433" s="17" t="str">
        <f t="shared" si="229"/>
        <v/>
      </c>
      <c r="T433" s="17" t="str">
        <f t="shared" si="230"/>
        <v/>
      </c>
      <c r="U433" s="17" t="str">
        <f t="shared" si="231"/>
        <v>-</v>
      </c>
      <c r="V433" s="17" t="str">
        <f t="shared" si="232"/>
        <v>-</v>
      </c>
      <c r="W433" s="17" t="str">
        <f t="shared" si="233"/>
        <v>-</v>
      </c>
      <c r="Z433" s="17" t="str">
        <f t="shared" si="227"/>
        <v>-</v>
      </c>
    </row>
    <row r="434" spans="18:26" x14ac:dyDescent="0.35">
      <c r="R434" s="17" t="str">
        <f t="shared" si="228"/>
        <v/>
      </c>
      <c r="S434" s="17" t="str">
        <f t="shared" si="229"/>
        <v/>
      </c>
      <c r="T434" s="17" t="str">
        <f t="shared" si="230"/>
        <v/>
      </c>
      <c r="U434" s="17" t="str">
        <f t="shared" si="231"/>
        <v>-</v>
      </c>
      <c r="V434" s="17" t="str">
        <f t="shared" si="232"/>
        <v>-</v>
      </c>
      <c r="W434" s="17" t="str">
        <f t="shared" si="233"/>
        <v>-</v>
      </c>
      <c r="Z434" s="17" t="str">
        <f t="shared" si="227"/>
        <v>-</v>
      </c>
    </row>
    <row r="435" spans="18:26" x14ac:dyDescent="0.35">
      <c r="R435" s="17" t="str">
        <f t="shared" si="228"/>
        <v/>
      </c>
      <c r="S435" s="17" t="str">
        <f t="shared" si="229"/>
        <v/>
      </c>
      <c r="T435" s="17" t="str">
        <f t="shared" si="230"/>
        <v/>
      </c>
      <c r="U435" s="17" t="str">
        <f t="shared" si="231"/>
        <v>-</v>
      </c>
      <c r="V435" s="17" t="str">
        <f t="shared" si="232"/>
        <v>-</v>
      </c>
      <c r="W435" s="17" t="str">
        <f t="shared" si="233"/>
        <v>-</v>
      </c>
      <c r="Z435" s="17" t="str">
        <f t="shared" si="227"/>
        <v>-</v>
      </c>
    </row>
    <row r="436" spans="18:26" x14ac:dyDescent="0.35">
      <c r="R436" s="17" t="str">
        <f t="shared" si="228"/>
        <v/>
      </c>
      <c r="S436" s="17" t="str">
        <f t="shared" si="229"/>
        <v/>
      </c>
      <c r="T436" s="17" t="str">
        <f t="shared" si="230"/>
        <v/>
      </c>
      <c r="U436" s="17" t="str">
        <f t="shared" si="231"/>
        <v>-</v>
      </c>
      <c r="V436" s="17" t="str">
        <f t="shared" si="232"/>
        <v>-</v>
      </c>
      <c r="W436" s="17" t="str">
        <f t="shared" si="233"/>
        <v>-</v>
      </c>
      <c r="Z436" s="17" t="str">
        <f t="shared" si="227"/>
        <v>-</v>
      </c>
    </row>
    <row r="437" spans="18:26" x14ac:dyDescent="0.35">
      <c r="R437" s="17" t="str">
        <f t="shared" si="228"/>
        <v/>
      </c>
      <c r="S437" s="17" t="str">
        <f t="shared" si="229"/>
        <v/>
      </c>
      <c r="T437" s="17" t="str">
        <f t="shared" si="230"/>
        <v/>
      </c>
      <c r="U437" s="17" t="str">
        <f t="shared" si="231"/>
        <v>-</v>
      </c>
      <c r="V437" s="17" t="str">
        <f t="shared" si="232"/>
        <v>-</v>
      </c>
      <c r="W437" s="17" t="str">
        <f t="shared" si="233"/>
        <v>-</v>
      </c>
      <c r="Z437" s="17" t="str">
        <f t="shared" si="227"/>
        <v>-</v>
      </c>
    </row>
    <row r="438" spans="18:26" x14ac:dyDescent="0.35">
      <c r="R438" s="17" t="str">
        <f t="shared" si="228"/>
        <v/>
      </c>
      <c r="S438" s="17" t="str">
        <f t="shared" si="229"/>
        <v/>
      </c>
      <c r="T438" s="17" t="str">
        <f t="shared" si="230"/>
        <v/>
      </c>
      <c r="U438" s="17" t="str">
        <f t="shared" si="231"/>
        <v>-</v>
      </c>
      <c r="V438" s="17" t="str">
        <f t="shared" si="232"/>
        <v>-</v>
      </c>
      <c r="W438" s="17" t="str">
        <f t="shared" si="233"/>
        <v>-</v>
      </c>
      <c r="Z438" s="17" t="str">
        <f t="shared" si="227"/>
        <v>-</v>
      </c>
    </row>
    <row r="439" spans="18:26" x14ac:dyDescent="0.35">
      <c r="R439" s="17" t="str">
        <f t="shared" si="228"/>
        <v/>
      </c>
      <c r="S439" s="17" t="str">
        <f t="shared" si="229"/>
        <v/>
      </c>
      <c r="T439" s="17" t="str">
        <f t="shared" si="230"/>
        <v/>
      </c>
      <c r="U439" s="17" t="str">
        <f t="shared" si="231"/>
        <v>-</v>
      </c>
      <c r="V439" s="17" t="str">
        <f t="shared" si="232"/>
        <v>-</v>
      </c>
      <c r="W439" s="17" t="str">
        <f t="shared" si="233"/>
        <v>-</v>
      </c>
      <c r="Z439" s="17" t="str">
        <f t="shared" si="227"/>
        <v>-</v>
      </c>
    </row>
    <row r="440" spans="18:26" x14ac:dyDescent="0.35">
      <c r="R440" s="17" t="str">
        <f t="shared" si="228"/>
        <v/>
      </c>
      <c r="S440" s="17" t="str">
        <f t="shared" si="229"/>
        <v/>
      </c>
      <c r="T440" s="17" t="str">
        <f t="shared" si="230"/>
        <v/>
      </c>
      <c r="U440" s="17" t="str">
        <f t="shared" si="231"/>
        <v>-</v>
      </c>
      <c r="V440" s="17" t="str">
        <f t="shared" si="232"/>
        <v>-</v>
      </c>
      <c r="W440" s="17" t="str">
        <f t="shared" si="233"/>
        <v>-</v>
      </c>
      <c r="Z440" s="17" t="str">
        <f t="shared" si="227"/>
        <v>-</v>
      </c>
    </row>
    <row r="441" spans="18:26" x14ac:dyDescent="0.35">
      <c r="R441" s="17" t="str">
        <f t="shared" si="228"/>
        <v/>
      </c>
      <c r="S441" s="17" t="str">
        <f t="shared" si="229"/>
        <v/>
      </c>
      <c r="T441" s="17" t="str">
        <f t="shared" si="230"/>
        <v/>
      </c>
      <c r="U441" s="17" t="str">
        <f t="shared" si="231"/>
        <v>-</v>
      </c>
      <c r="V441" s="17" t="str">
        <f t="shared" si="232"/>
        <v>-</v>
      </c>
      <c r="W441" s="17" t="str">
        <f t="shared" si="233"/>
        <v>-</v>
      </c>
      <c r="Z441" s="17" t="str">
        <f t="shared" si="227"/>
        <v>-</v>
      </c>
    </row>
    <row r="442" spans="18:26" x14ac:dyDescent="0.35">
      <c r="R442" s="17" t="str">
        <f t="shared" si="228"/>
        <v/>
      </c>
      <c r="S442" s="17" t="str">
        <f t="shared" si="229"/>
        <v/>
      </c>
      <c r="T442" s="17" t="str">
        <f t="shared" si="230"/>
        <v/>
      </c>
      <c r="U442" s="17" t="str">
        <f t="shared" si="231"/>
        <v>-</v>
      </c>
      <c r="V442" s="17" t="str">
        <f t="shared" si="232"/>
        <v>-</v>
      </c>
      <c r="W442" s="17" t="str">
        <f t="shared" si="233"/>
        <v>-</v>
      </c>
      <c r="Z442" s="17" t="str">
        <f t="shared" si="227"/>
        <v>-</v>
      </c>
    </row>
    <row r="443" spans="18:26" x14ac:dyDescent="0.35">
      <c r="R443" s="17" t="str">
        <f t="shared" si="228"/>
        <v/>
      </c>
      <c r="S443" s="17" t="str">
        <f t="shared" si="229"/>
        <v/>
      </c>
      <c r="T443" s="17" t="str">
        <f t="shared" si="230"/>
        <v/>
      </c>
      <c r="U443" s="17" t="str">
        <f t="shared" si="231"/>
        <v>-</v>
      </c>
      <c r="V443" s="17" t="str">
        <f t="shared" si="232"/>
        <v>-</v>
      </c>
      <c r="W443" s="17" t="str">
        <f t="shared" si="233"/>
        <v>-</v>
      </c>
      <c r="Z443" s="17" t="str">
        <f t="shared" si="227"/>
        <v>-</v>
      </c>
    </row>
    <row r="444" spans="18:26" x14ac:dyDescent="0.35">
      <c r="R444" s="17" t="str">
        <f t="shared" si="228"/>
        <v/>
      </c>
      <c r="S444" s="17" t="str">
        <f t="shared" si="229"/>
        <v/>
      </c>
      <c r="T444" s="17" t="str">
        <f t="shared" si="230"/>
        <v/>
      </c>
      <c r="U444" s="17" t="str">
        <f t="shared" si="231"/>
        <v>-</v>
      </c>
      <c r="V444" s="17" t="str">
        <f t="shared" si="232"/>
        <v>-</v>
      </c>
      <c r="W444" s="17" t="str">
        <f t="shared" si="233"/>
        <v>-</v>
      </c>
      <c r="Z444" s="17" t="str">
        <f t="shared" si="227"/>
        <v>-</v>
      </c>
    </row>
    <row r="445" spans="18:26" x14ac:dyDescent="0.35">
      <c r="R445" s="17" t="str">
        <f t="shared" si="228"/>
        <v/>
      </c>
      <c r="S445" s="17" t="str">
        <f t="shared" si="229"/>
        <v/>
      </c>
      <c r="T445" s="17" t="str">
        <f t="shared" si="230"/>
        <v/>
      </c>
      <c r="U445" s="17" t="str">
        <f t="shared" si="231"/>
        <v>-</v>
      </c>
      <c r="V445" s="17" t="str">
        <f t="shared" si="232"/>
        <v>-</v>
      </c>
      <c r="W445" s="17" t="str">
        <f t="shared" si="233"/>
        <v>-</v>
      </c>
      <c r="Z445" s="17" t="str">
        <f t="shared" si="227"/>
        <v>-</v>
      </c>
    </row>
    <row r="446" spans="18:26" x14ac:dyDescent="0.35">
      <c r="R446" s="17" t="str">
        <f t="shared" si="228"/>
        <v/>
      </c>
      <c r="S446" s="17" t="str">
        <f t="shared" si="229"/>
        <v/>
      </c>
      <c r="T446" s="17" t="str">
        <f t="shared" si="230"/>
        <v/>
      </c>
      <c r="U446" s="17" t="str">
        <f t="shared" si="231"/>
        <v>-</v>
      </c>
      <c r="V446" s="17" t="str">
        <f t="shared" si="232"/>
        <v>-</v>
      </c>
      <c r="W446" s="17" t="str">
        <f t="shared" si="233"/>
        <v>-</v>
      </c>
      <c r="Z446" s="17" t="str">
        <f t="shared" si="227"/>
        <v>-</v>
      </c>
    </row>
    <row r="447" spans="18:26" x14ac:dyDescent="0.35">
      <c r="R447" s="17" t="str">
        <f t="shared" si="228"/>
        <v/>
      </c>
      <c r="S447" s="17" t="str">
        <f t="shared" si="229"/>
        <v/>
      </c>
      <c r="T447" s="17" t="str">
        <f t="shared" si="230"/>
        <v/>
      </c>
      <c r="U447" s="17" t="str">
        <f t="shared" si="231"/>
        <v>-</v>
      </c>
      <c r="V447" s="17" t="str">
        <f t="shared" si="232"/>
        <v>-</v>
      </c>
      <c r="W447" s="17" t="str">
        <f t="shared" si="233"/>
        <v>-</v>
      </c>
      <c r="Z447" s="17" t="str">
        <f t="shared" si="227"/>
        <v>-</v>
      </c>
    </row>
    <row r="448" spans="18:26" x14ac:dyDescent="0.35">
      <c r="R448" s="17" t="str">
        <f t="shared" si="228"/>
        <v/>
      </c>
      <c r="S448" s="17" t="str">
        <f t="shared" si="229"/>
        <v/>
      </c>
      <c r="T448" s="17" t="str">
        <f t="shared" si="230"/>
        <v/>
      </c>
      <c r="U448" s="17" t="str">
        <f t="shared" si="231"/>
        <v>-</v>
      </c>
      <c r="V448" s="17" t="str">
        <f t="shared" si="232"/>
        <v>-</v>
      </c>
      <c r="W448" s="17" t="str">
        <f t="shared" si="233"/>
        <v>-</v>
      </c>
      <c r="Z448" s="17" t="str">
        <f t="shared" si="227"/>
        <v>-</v>
      </c>
    </row>
    <row r="449" spans="18:26" x14ac:dyDescent="0.35">
      <c r="R449" s="17" t="str">
        <f t="shared" si="228"/>
        <v/>
      </c>
      <c r="S449" s="17" t="str">
        <f t="shared" si="229"/>
        <v/>
      </c>
      <c r="T449" s="17" t="str">
        <f t="shared" si="230"/>
        <v/>
      </c>
      <c r="U449" s="17" t="str">
        <f t="shared" si="231"/>
        <v>-</v>
      </c>
      <c r="V449" s="17" t="str">
        <f t="shared" si="232"/>
        <v>-</v>
      </c>
      <c r="W449" s="17" t="str">
        <f t="shared" si="233"/>
        <v>-</v>
      </c>
      <c r="Z449" s="17" t="str">
        <f t="shared" si="227"/>
        <v>-</v>
      </c>
    </row>
    <row r="450" spans="18:26" x14ac:dyDescent="0.35">
      <c r="R450" s="17" t="str">
        <f t="shared" si="228"/>
        <v/>
      </c>
      <c r="S450" s="17" t="str">
        <f t="shared" si="229"/>
        <v/>
      </c>
      <c r="T450" s="17" t="str">
        <f t="shared" si="230"/>
        <v/>
      </c>
      <c r="U450" s="17" t="str">
        <f t="shared" si="231"/>
        <v>-</v>
      </c>
      <c r="V450" s="17" t="str">
        <f t="shared" si="232"/>
        <v>-</v>
      </c>
      <c r="W450" s="17" t="str">
        <f t="shared" si="233"/>
        <v>-</v>
      </c>
      <c r="Z450" s="17" t="str">
        <f t="shared" si="227"/>
        <v>-</v>
      </c>
    </row>
    <row r="451" spans="18:26" x14ac:dyDescent="0.35">
      <c r="R451" s="17" t="str">
        <f t="shared" si="228"/>
        <v/>
      </c>
      <c r="S451" s="17" t="str">
        <f t="shared" si="229"/>
        <v/>
      </c>
      <c r="T451" s="17" t="str">
        <f t="shared" si="230"/>
        <v/>
      </c>
      <c r="U451" s="17" t="str">
        <f t="shared" si="231"/>
        <v>-</v>
      </c>
      <c r="V451" s="17" t="str">
        <f t="shared" si="232"/>
        <v>-</v>
      </c>
      <c r="W451" s="17" t="str">
        <f t="shared" si="233"/>
        <v>-</v>
      </c>
      <c r="Z451" s="17" t="str">
        <f t="shared" si="227"/>
        <v>-</v>
      </c>
    </row>
    <row r="452" spans="18:26" x14ac:dyDescent="0.35">
      <c r="R452" s="17" t="str">
        <f t="shared" si="228"/>
        <v/>
      </c>
      <c r="S452" s="17" t="str">
        <f t="shared" si="229"/>
        <v/>
      </c>
      <c r="T452" s="17" t="str">
        <f t="shared" si="230"/>
        <v/>
      </c>
      <c r="U452" s="17" t="str">
        <f t="shared" si="231"/>
        <v>-</v>
      </c>
      <c r="V452" s="17" t="str">
        <f t="shared" si="232"/>
        <v>-</v>
      </c>
      <c r="W452" s="17" t="str">
        <f t="shared" si="233"/>
        <v>-</v>
      </c>
      <c r="Z452" s="17" t="str">
        <f t="shared" si="227"/>
        <v>-</v>
      </c>
    </row>
    <row r="453" spans="18:26" x14ac:dyDescent="0.35">
      <c r="R453" s="17" t="str">
        <f t="shared" si="228"/>
        <v/>
      </c>
      <c r="S453" s="17" t="str">
        <f t="shared" si="229"/>
        <v/>
      </c>
      <c r="T453" s="17" t="str">
        <f t="shared" si="230"/>
        <v/>
      </c>
      <c r="U453" s="17" t="str">
        <f t="shared" si="231"/>
        <v>-</v>
      </c>
      <c r="V453" s="17" t="str">
        <f t="shared" si="232"/>
        <v>-</v>
      </c>
      <c r="W453" s="17" t="str">
        <f t="shared" si="233"/>
        <v>-</v>
      </c>
      <c r="Z453" s="17" t="str">
        <f t="shared" si="227"/>
        <v>-</v>
      </c>
    </row>
    <row r="454" spans="18:26" x14ac:dyDescent="0.35">
      <c r="R454" s="17" t="str">
        <f t="shared" si="228"/>
        <v/>
      </c>
      <c r="S454" s="17" t="str">
        <f t="shared" si="229"/>
        <v/>
      </c>
      <c r="T454" s="17" t="str">
        <f t="shared" si="230"/>
        <v/>
      </c>
      <c r="U454" s="17" t="str">
        <f t="shared" si="231"/>
        <v>-</v>
      </c>
      <c r="V454" s="17" t="str">
        <f t="shared" si="232"/>
        <v>-</v>
      </c>
      <c r="W454" s="17" t="str">
        <f t="shared" si="233"/>
        <v>-</v>
      </c>
      <c r="Z454" s="17" t="str">
        <f t="shared" si="227"/>
        <v>-</v>
      </c>
    </row>
    <row r="455" spans="18:26" x14ac:dyDescent="0.35">
      <c r="R455" s="17" t="str">
        <f t="shared" si="228"/>
        <v/>
      </c>
      <c r="S455" s="17" t="str">
        <f t="shared" si="229"/>
        <v/>
      </c>
      <c r="T455" s="17" t="str">
        <f t="shared" si="230"/>
        <v/>
      </c>
      <c r="Z455" s="17" t="str">
        <f t="shared" si="227"/>
        <v>-</v>
      </c>
    </row>
  </sheetData>
  <mergeCells count="9">
    <mergeCell ref="D2:H2"/>
    <mergeCell ref="I2:K2"/>
    <mergeCell ref="F1:H1"/>
    <mergeCell ref="I1:K1"/>
    <mergeCell ref="AL2:AN2"/>
    <mergeCell ref="AI2:AK2"/>
    <mergeCell ref="AB2:AD2"/>
    <mergeCell ref="AE2:AG2"/>
    <mergeCell ref="U2:W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067C-7DCC-4B8B-9457-93D8D08175A1}">
  <sheetPr codeName="Sheet2"/>
  <dimension ref="A1"/>
  <sheetViews>
    <sheetView workbookViewId="0">
      <selection activeCell="D4" sqref="D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Linder</dc:creator>
  <cp:lastModifiedBy>Eric Heimpel</cp:lastModifiedBy>
  <dcterms:created xsi:type="dcterms:W3CDTF">2018-01-09T17:19:41Z</dcterms:created>
  <dcterms:modified xsi:type="dcterms:W3CDTF">2019-03-25T17:16:01Z</dcterms:modified>
</cp:coreProperties>
</file>