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PDLAB\Lab Report and xlsx\"/>
    </mc:Choice>
  </mc:AlternateContent>
  <xr:revisionPtr revIDLastSave="0" documentId="13_ncr:1_{4527C43D-CA51-47B4-9335-53A9244317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1" l="1"/>
  <c r="B104" i="1"/>
  <c r="B78" i="1"/>
  <c r="C78" i="1"/>
  <c r="B83" i="1" s="1"/>
  <c r="B95" i="1"/>
  <c r="B92" i="1"/>
  <c r="B100" i="1"/>
  <c r="B86" i="1"/>
  <c r="B87" i="1"/>
  <c r="E66" i="1"/>
  <c r="D66" i="1"/>
  <c r="B77" i="1"/>
  <c r="B82" i="1"/>
  <c r="G27" i="1"/>
  <c r="G28" i="1"/>
  <c r="G29" i="1"/>
  <c r="G30" i="1"/>
  <c r="G31" i="1"/>
  <c r="G38" i="1"/>
  <c r="E74" i="1"/>
  <c r="E73" i="1"/>
  <c r="E62" i="1"/>
  <c r="E63" i="1"/>
  <c r="E64" i="1"/>
  <c r="E65" i="1"/>
  <c r="E67" i="1"/>
  <c r="E68" i="1"/>
  <c r="E69" i="1"/>
  <c r="E70" i="1"/>
  <c r="E71" i="1"/>
  <c r="E72" i="1"/>
  <c r="H35" i="1"/>
  <c r="E61" i="1"/>
  <c r="D62" i="1"/>
  <c r="D63" i="1"/>
  <c r="D64" i="1"/>
  <c r="D65" i="1"/>
  <c r="D67" i="1"/>
  <c r="D68" i="1"/>
  <c r="D69" i="1"/>
  <c r="D70" i="1"/>
  <c r="D71" i="1"/>
  <c r="D72" i="1"/>
  <c r="D61" i="1"/>
  <c r="C72" i="1"/>
  <c r="C62" i="1"/>
  <c r="C63" i="1"/>
  <c r="C64" i="1"/>
  <c r="C65" i="1"/>
  <c r="C61" i="1"/>
  <c r="B52" i="1"/>
  <c r="B55" i="1"/>
  <c r="B56" i="1" s="1"/>
  <c r="B54" i="1"/>
  <c r="E43" i="1"/>
  <c r="E44" i="1"/>
  <c r="E45" i="1"/>
  <c r="E46" i="1"/>
  <c r="E47" i="1"/>
  <c r="E48" i="1"/>
  <c r="E42" i="1"/>
  <c r="H38" i="1"/>
  <c r="H37" i="1"/>
  <c r="H36" i="1"/>
  <c r="H34" i="1"/>
  <c r="H33" i="1"/>
  <c r="H32" i="1"/>
  <c r="H31" i="1"/>
  <c r="H30" i="1"/>
  <c r="H29" i="1"/>
  <c r="H28" i="1"/>
  <c r="H27" i="1"/>
  <c r="B1" i="1"/>
  <c r="D78" i="1" l="1"/>
  <c r="D79" i="1" s="1"/>
  <c r="B84" i="1"/>
  <c r="B94" i="1" s="1"/>
  <c r="B97" i="1" s="1"/>
  <c r="B98" i="1"/>
  <c r="B99" i="1"/>
  <c r="B96" i="1" l="1"/>
</calcChain>
</file>

<file path=xl/sharedStrings.xml><?xml version="1.0" encoding="utf-8"?>
<sst xmlns="http://schemas.openxmlformats.org/spreadsheetml/2006/main" count="128" uniqueCount="93">
  <si>
    <t>mean ppt:</t>
  </si>
  <si>
    <t>roll no:</t>
  </si>
  <si>
    <t>discharge:</t>
  </si>
  <si>
    <t>Month</t>
  </si>
  <si>
    <t>c</t>
  </si>
  <si>
    <t>a1</t>
  </si>
  <si>
    <t>a2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</si>
  <si>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</si>
  <si>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</si>
  <si>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</si>
  <si>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</si>
  <si>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</si>
  <si>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</si>
  <si>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</si>
  <si>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</si>
  <si>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Septrmber</t>
  </si>
  <si>
    <t>October</t>
  </si>
  <si>
    <t>November</t>
  </si>
  <si>
    <t>December</t>
  </si>
  <si>
    <t>catchment area:</t>
  </si>
  <si>
    <t>Head:</t>
  </si>
  <si>
    <t>Intake:</t>
  </si>
  <si>
    <t xml:space="preserve"> 27°55'35.72"N</t>
  </si>
  <si>
    <t xml:space="preserve"> 85°56'4.90"E</t>
  </si>
  <si>
    <t>Powerhouse</t>
  </si>
  <si>
    <t xml:space="preserve"> 27°46'0.58"N</t>
  </si>
  <si>
    <t>Koshi</t>
  </si>
  <si>
    <t xml:space="preserve"> 85°52'44.19"E</t>
  </si>
  <si>
    <t>mean monthly flow</t>
  </si>
  <si>
    <t>flow duration</t>
  </si>
  <si>
    <t>B</t>
  </si>
  <si>
    <t>A</t>
  </si>
  <si>
    <t>C</t>
  </si>
  <si>
    <t>Q</t>
  </si>
  <si>
    <t xml:space="preserve">Dependent Variable </t>
  </si>
  <si>
    <t>Maximum flow(Q0)</t>
  </si>
  <si>
    <t>25% exceedance</t>
  </si>
  <si>
    <t>45% exceedance</t>
  </si>
  <si>
    <t>65% exceedance</t>
  </si>
  <si>
    <t>85% exceedance</t>
  </si>
  <si>
    <t>95% exceedance</t>
  </si>
  <si>
    <t>Minimum flow</t>
  </si>
  <si>
    <t>Q45</t>
  </si>
  <si>
    <t>design discharge</t>
  </si>
  <si>
    <t>driest month Mar Q</t>
  </si>
  <si>
    <t>riparian Q</t>
  </si>
  <si>
    <t>Net Head</t>
  </si>
  <si>
    <t>Power Input</t>
  </si>
  <si>
    <t>Electrical Power O/P</t>
  </si>
  <si>
    <t>kW</t>
  </si>
  <si>
    <t>KW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</si>
  <si>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</si>
  <si>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t>mm</t>
  </si>
  <si>
    <r>
      <t>km</t>
    </r>
    <r>
      <rPr>
        <vertAlign val="superscript"/>
        <sz val="11"/>
        <color theme="1"/>
        <rFont val="Calibri"/>
        <family val="2"/>
        <scheme val="minor"/>
      </rPr>
      <t>2</t>
    </r>
  </si>
  <si>
    <t>m</t>
  </si>
  <si>
    <t>Monthly Power and</t>
  </si>
  <si>
    <t>Monthly Energy</t>
  </si>
  <si>
    <t>mean monthly flow(m3/s)</t>
  </si>
  <si>
    <t>Power (MW)</t>
  </si>
  <si>
    <t>Design Discharge(m3/s)</t>
  </si>
  <si>
    <t>Monthly Energy Generation(Gwh)</t>
  </si>
  <si>
    <t>no of days in month</t>
  </si>
  <si>
    <t>Total Gwh</t>
  </si>
  <si>
    <t>After 5%outage</t>
  </si>
  <si>
    <t>riparian q</t>
  </si>
  <si>
    <t>Actual Discharge Taken</t>
  </si>
  <si>
    <t>unit</t>
  </si>
  <si>
    <t>September</t>
  </si>
  <si>
    <t>no of unit</t>
  </si>
  <si>
    <t>discharge per turbine(Q45)</t>
  </si>
  <si>
    <t>MW per unit</t>
  </si>
  <si>
    <t>assumed pf</t>
  </si>
  <si>
    <t>Turbine Type</t>
  </si>
  <si>
    <t>specific speed(Ns)</t>
  </si>
  <si>
    <t>Pelton(2 jet)</t>
  </si>
  <si>
    <t>conversion factor</t>
  </si>
  <si>
    <t>Power per unit(HP)</t>
  </si>
  <si>
    <t>Synchronous speed</t>
  </si>
  <si>
    <t>no of pole</t>
  </si>
  <si>
    <t>plant factor</t>
  </si>
  <si>
    <t>Emax</t>
  </si>
  <si>
    <t>pelton dimnesion:</t>
  </si>
  <si>
    <t>Cv</t>
  </si>
  <si>
    <t>jet velocity</t>
  </si>
  <si>
    <t>Ku</t>
  </si>
  <si>
    <t>Runner dia</t>
  </si>
  <si>
    <t>jet diameter</t>
  </si>
  <si>
    <t>no of bucket</t>
  </si>
  <si>
    <t>bucket breadth</t>
  </si>
  <si>
    <t>buck length</t>
  </si>
  <si>
    <t>bucker radial</t>
  </si>
  <si>
    <t>Genrator Design</t>
  </si>
  <si>
    <t>11kv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</si>
</sst>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Flow Exceedence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30844420309529"/>
          <c:y val="0.12073111464955572"/>
          <c:w val="0.84989845234862882"/>
          <c:h val="0.61411049166380216"/>
        </c:manualLayout>
      </c:layout>
      <c:lineChart>
        <c:grouping val="standard"/>
        <c:varyColors val="0"/>
        <c:ser>
          <c:idx val="0"/>
          <c:order val="0"/>
          <c:tx>
            <c:strRef>
              <c:f>Sheet1!$B$40:$B$41</c:f>
              <c:strCache>
                <c:ptCount val="2"/>
                <c:pt idx="0">
                  <c:v>flow duration</c:v>
                </c:pt>
                <c:pt idx="1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Sheet1!$A$42:$A$48</c:f>
              <c:strCache>
                <c:ptCount val="7"/>
                <c:pt idx="0">
                  <c:v>Maximum flow(Q0)</c:v>
                </c:pt>
                <c:pt idx="1">
                  <c:v>25% exceedance</c:v>
                </c:pt>
                <c:pt idx="2">
                  <c:v>45% exceedance</c:v>
                </c:pt>
                <c:pt idx="3">
                  <c:v>65% exceedance</c:v>
                </c:pt>
                <c:pt idx="4">
                  <c:v>85% exceedance</c:v>
                </c:pt>
                <c:pt idx="5">
                  <c:v>95% exceedance</c:v>
                </c:pt>
                <c:pt idx="6">
                  <c:v>Minimum flow</c:v>
                </c:pt>
              </c:strCache>
            </c:strRef>
          </c:cat>
          <c:val>
            <c:numRef>
              <c:f>Sheet1!$B$42:$B$48</c:f>
              <c:numCache>
                <c:formatCode>General</c:formatCode>
                <c:ptCount val="7"/>
                <c:pt idx="0">
                  <c:v>0.81200000000000006</c:v>
                </c:pt>
                <c:pt idx="1">
                  <c:v>0.92789999999999995</c:v>
                </c:pt>
                <c:pt idx="2">
                  <c:v>0.92390000000000005</c:v>
                </c:pt>
                <c:pt idx="3">
                  <c:v>0.90439999999999998</c:v>
                </c:pt>
                <c:pt idx="4">
                  <c:v>0.92559999999999998</c:v>
                </c:pt>
                <c:pt idx="5">
                  <c:v>0.95309999999999995</c:v>
                </c:pt>
                <c:pt idx="6">
                  <c:v>1.1689000000000001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89-4335-A98C-01F7A727F1B2}"/>
            </c:ext>
          </c:extLst>
        </c:ser>
        <c:ser>
          <c:idx val="1"/>
          <c:order val="1"/>
          <c:tx>
            <c:strRef>
              <c:f>Sheet1!$C$40:$C$41</c:f>
              <c:strCache>
                <c:ptCount val="2"/>
                <c:pt idx="0">
                  <c:v>flow duration</c:v>
                </c:pt>
                <c:pt idx="1">
                  <c:v>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Sheet1!$A$42:$A$48</c:f>
              <c:strCache>
                <c:ptCount val="7"/>
                <c:pt idx="0">
                  <c:v>Maximum flow(Q0)</c:v>
                </c:pt>
                <c:pt idx="1">
                  <c:v>25% exceedance</c:v>
                </c:pt>
                <c:pt idx="2">
                  <c:v>45% exceedance</c:v>
                </c:pt>
                <c:pt idx="3">
                  <c:v>65% exceedance</c:v>
                </c:pt>
                <c:pt idx="4">
                  <c:v>85% exceedance</c:v>
                </c:pt>
                <c:pt idx="5">
                  <c:v>95% exceedance</c:v>
                </c:pt>
                <c:pt idx="6">
                  <c:v>Minimum flow</c:v>
                </c:pt>
              </c:strCache>
            </c:strRef>
          </c:cat>
          <c:val>
            <c:numRef>
              <c:f>Sheet1!$C$42:$C$48</c:f>
              <c:numCache>
                <c:formatCode>General</c:formatCode>
                <c:ptCount val="7"/>
                <c:pt idx="0">
                  <c:v>0.53369999999999995</c:v>
                </c:pt>
                <c:pt idx="1">
                  <c:v>0.29859999999999998</c:v>
                </c:pt>
                <c:pt idx="2">
                  <c:v>0.20180000000000001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89-4335-A98C-01F7A727F1B2}"/>
            </c:ext>
          </c:extLst>
        </c:ser>
        <c:ser>
          <c:idx val="2"/>
          <c:order val="2"/>
          <c:tx>
            <c:strRef>
              <c:f>Sheet1!$D$40:$D$41</c:f>
              <c:strCache>
                <c:ptCount val="2"/>
                <c:pt idx="0">
                  <c:v>flow duration</c:v>
                </c:pt>
                <c:pt idx="1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Sheet1!$A$42:$A$48</c:f>
              <c:strCache>
                <c:ptCount val="7"/>
                <c:pt idx="0">
                  <c:v>Maximum flow(Q0)</c:v>
                </c:pt>
                <c:pt idx="1">
                  <c:v>25% exceedance</c:v>
                </c:pt>
                <c:pt idx="2">
                  <c:v>45% exceedance</c:v>
                </c:pt>
                <c:pt idx="3">
                  <c:v>65% exceedance</c:v>
                </c:pt>
                <c:pt idx="4">
                  <c:v>85% exceedance</c:v>
                </c:pt>
                <c:pt idx="5">
                  <c:v>95% exceedance</c:v>
                </c:pt>
                <c:pt idx="6">
                  <c:v>Minimum flow</c:v>
                </c:pt>
              </c:strCache>
            </c:strRef>
          </c:cat>
          <c:val>
            <c:numRef>
              <c:f>Sheet1!$D$42:$D$48</c:f>
              <c:numCache>
                <c:formatCode>General</c:formatCode>
                <c:ptCount val="7"/>
                <c:pt idx="0">
                  <c:v>6.14105E-2</c:v>
                </c:pt>
                <c:pt idx="1">
                  <c:v>1.24336E-2</c:v>
                </c:pt>
                <c:pt idx="2">
                  <c:v>8.9146E-3</c:v>
                </c:pt>
                <c:pt idx="3">
                  <c:v>2.4831300000000001E-2</c:v>
                </c:pt>
                <c:pt idx="4">
                  <c:v>1.44905E-2</c:v>
                </c:pt>
                <c:pt idx="5">
                  <c:v>8.6449000000000005E-3</c:v>
                </c:pt>
                <c:pt idx="6">
                  <c:v>7.3820000000000005E-4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89-4335-A98C-01F7A727F1B2}"/>
            </c:ext>
          </c:extLst>
        </c:ser>
        <c:ser>
          <c:idx val="3"/>
          <c:order val="3"/>
          <c:tx>
            <c:strRef>
              <c:f>Sheet1!$E$40:$E$41</c:f>
              <c:strCache>
                <c:ptCount val="2"/>
                <c:pt idx="0">
                  <c:v>flow duration</c:v>
                </c:pt>
                <c:pt idx="1">
                  <c:v>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Sheet1!$A$42:$A$48</c:f>
              <c:strCache>
                <c:ptCount val="7"/>
                <c:pt idx="0">
                  <c:v>Maximum flow(Q0)</c:v>
                </c:pt>
                <c:pt idx="1">
                  <c:v>25% exceedance</c:v>
                </c:pt>
                <c:pt idx="2">
                  <c:v>45% exceedance</c:v>
                </c:pt>
                <c:pt idx="3">
                  <c:v>65% exceedance</c:v>
                </c:pt>
                <c:pt idx="4">
                  <c:v>85% exceedance</c:v>
                </c:pt>
                <c:pt idx="5">
                  <c:v>95% exceedance</c:v>
                </c:pt>
                <c:pt idx="6">
                  <c:v>Minimum flow</c:v>
                </c:pt>
              </c:strCache>
            </c:strRef>
          </c:cat>
          <c:val>
            <c:numRef>
              <c:f>Sheet1!$E$42:$E$48</c:f>
              <c:numCache>
                <c:formatCode>General</c:formatCode>
                <c:ptCount val="7"/>
                <c:pt idx="0">
                  <c:v>2167.9285305408648</c:v>
                </c:pt>
                <c:pt idx="1">
                  <c:v>163.59117738618727</c:v>
                </c:pt>
                <c:pt idx="2">
                  <c:v>52.578067578546936</c:v>
                </c:pt>
                <c:pt idx="3">
                  <c:v>25.24365914514124</c:v>
                </c:pt>
                <c:pt idx="4">
                  <c:v>17.32713493234111</c:v>
                </c:pt>
                <c:pt idx="5">
                  <c:v>12.759732064378053</c:v>
                </c:pt>
                <c:pt idx="6">
                  <c:v>5.6858588502995797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89-4335-A98C-01F7A727F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04047"/>
        <c:axId val="146054303"/>
      </c:lineChart>
      <c:catAx>
        <c:axId val="58004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Flow</a:t>
                </a:r>
                <a:r>
                  <a:rPr lang="en-US" baseline="0"/>
                  <a:t> Exceedence Level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4303"/>
        <c:crosses val="autoZero"/>
        <c:auto val="1"/>
        <c:lblAlgn val="ctr"/>
        <c:lblOffset val="100"/>
        <c:noMultiLvlLbl val="0"/>
      </c:catAx>
      <c:valAx>
        <c:axId val="14605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</a:t>
                </a:r>
                <a:r>
                  <a:rPr lang="en-US" baseline="0"/>
                  <a:t> Discharge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HYDROGRAPH OF BHOTEKOSHI</a:t>
            </a:r>
          </a:p>
        </c:rich>
      </c:tx>
      <c:layout>
        <c:manualLayout>
          <c:xMode val="edge"/>
          <c:yMode val="edge"/>
          <c:x val="0.25115966754155733"/>
          <c:y val="3.6745399230082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Sheet1!$G$26</c:f>
              <c:strCache>
                <c:ptCount val="1"/>
                <c:pt idx="0">
                  <c:v>Actual Discharge Taken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Sheet1!$A$27:$A$38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Sheet1!$G$27:$G$38</c:f>
              <c:numCache>
                <c:formatCode>General</c:formatCode>
                <c:ptCount val="12"/>
                <c:pt idx="0">
                  <c:v>21.456509367349003</c:v>
                </c:pt>
                <c:pt idx="1">
                  <c:v>17.776834780085618</c:v>
                </c:pt>
                <c:pt idx="2">
                  <c:v>16.848799047998764</c:v>
                </c:pt>
                <c:pt idx="3">
                  <c:v>24.994374065717377</c:v>
                </c:pt>
                <c:pt idx="4">
                  <c:v>17.519676374272645</c:v>
                </c:pt>
                <c:pt idx="5">
                  <c:v>52.578067578546936</c:v>
                </c:pt>
                <c:pt idx="6">
                  <c:v>52.578067578546936</c:v>
                </c:pt>
                <c:pt idx="7">
                  <c:v>52.578067578546936</c:v>
                </c:pt>
                <c:pt idx="8">
                  <c:v>52.578067578546936</c:v>
                </c:pt>
                <c:pt idx="9">
                  <c:v>52.578067578546936</c:v>
                </c:pt>
                <c:pt idx="10">
                  <c:v>52.578067578546936</c:v>
                </c:pt>
                <c:pt idx="11">
                  <c:v>36.149338920199476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1-4DB0-923D-DE86C743B7D8}"/>
            </c:ext>
          </c:extLst>
        </c:ser>
        <c:ser>
          <c:idx val="2"/>
          <c:order val="2"/>
          <c:tx>
            <c:strRef>
              <c:f>Sheet1!$H$26</c:f>
              <c:strCache>
                <c:ptCount val="1"/>
                <c:pt idx="0">
                  <c:v>mean monthly flow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Sheet1!$A$27:$A$38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Sheet1!$H$27:$H$38</c:f>
              <c:numCache>
                <c:formatCode>General</c:formatCode>
                <c:ptCount val="12"/>
                <c:pt idx="0">
                  <c:v>23.328598150459978</c:v>
                </c:pt>
                <c:pt idx="1">
                  <c:v>19.648923563196593</c:v>
                </c:pt>
                <c:pt idx="2">
                  <c:v>18.720887831109739</c:v>
                </c:pt>
                <c:pt idx="3">
                  <c:v>26.866462848828352</c:v>
                </c:pt>
                <c:pt idx="4">
                  <c:v>19.39176515738362</c:v>
                </c:pt>
                <c:pt idx="5">
                  <c:v>108.1764630008973</c:v>
                </c:pt>
                <c:pt idx="6">
                  <c:v>318.46618005729994</c:v>
                </c:pt>
                <c:pt idx="7">
                  <c:v>363.29122463185661</c:v>
                </c:pt>
                <c:pt idx="8">
                  <c:v>273.9549108657427</c:v>
                </c:pt>
                <c:pt idx="9">
                  <c:v>120.24054868637657</c:v>
                </c:pt>
                <c:pt idx="10">
                  <c:v>57.989393128626553</c:v>
                </c:pt>
                <c:pt idx="11">
                  <c:v>38.021427703310451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81-4DB0-923D-DE86C743B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84272"/>
        <c:axId val="3853277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Sheet1!$F$26</c15:sqref>
                        </c15:formulaRef>
                      </c:ext>
                    </c:extLst>
                    <c:strCache>
                      <c:ptCount val="1"/>
                      <c:pt idx="0">
                        <c:v>riparian q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Sheet1!$A$27:$A$38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Sheet1!$F$27:$F$38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1.872088783110974</c:v>
                      </c:pt>
                      <c:pt idx="1">
                        <c:v>1.872088783110974</c:v>
                      </c:pt>
                      <c:pt idx="2">
                        <c:v>1.872088783110974</c:v>
                      </c:pt>
                      <c:pt idx="3">
                        <c:v>1.872088783110974</c:v>
                      </c:pt>
                      <c:pt idx="4">
                        <c:v>1.872088783110974</c:v>
                      </c:pt>
                      <c:pt idx="5">
                        <c:v>1.872088783110974</c:v>
                      </c:pt>
                      <c:pt idx="6">
                        <c:v>1.872088783110974</c:v>
                      </c:pt>
                      <c:pt idx="7">
                        <c:v>1.872088783110974</c:v>
                      </c:pt>
                      <c:pt idx="8">
                        <c:v>1.872088783110974</c:v>
                      </c:pt>
                      <c:pt idx="9">
                        <c:v>1.872088783110974</c:v>
                      </c:pt>
                      <c:pt idx="10">
                        <c:v>1.872088783110974</c:v>
                      </c:pt>
                      <c:pt idx="11">
                        <c:v>1.872088783110974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E81-4DB0-923D-DE86C743B7D8}"/>
                  </c:ext>
                </c:extLst>
              </c15:ser>
            </c15:filteredLineSeries>
          </c:ext>
        </c:extLst>
      </c:lineChart>
      <c:catAx>
        <c:axId val="42798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27712"/>
        <c:crosses val="autoZero"/>
        <c:auto val="1"/>
        <c:lblAlgn val="ctr"/>
        <c:lblOffset val="100"/>
        <c:noMultiLvlLbl val="0"/>
      </c:catAx>
      <c:valAx>
        <c:axId val="3853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Discharge(cimec)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98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11</xdr:row>
      <xdr:rowOff>100012</xdr:rowOff>
    </xdr:from>
    <xdr:to>
      <xdr:col>1</xdr:col>
      <xdr:colOff>925791</xdr:colOff>
      <xdr:row>15</xdr:row>
      <xdr:rowOff>70503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DA9240-04FC-E681-700C-7CB59858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6" y="2195512"/>
          <a:ext cx="690562" cy="732491"/>
        </a:xfrm>
        <a:prstGeom prst="rect">
          <a:avLst/>
        </a:prstGeom>
      </xdr:spPr>
    </xdr:pic>
    <xdr:clientData/>
  </xdr:twoCellAnchor>
  <xdr:twoCellAnchor editAs="oneCell">
    <xdr:from>
      <xdr:col>0</xdr:col>
      <xdr:colOff>261938</xdr:colOff>
      <xdr:row>10</xdr:row>
      <xdr:rowOff>138112</xdr:rowOff>
    </xdr:from>
    <xdr:to>
      <xdr:col>0</xdr:col>
      <xdr:colOff>1165870</xdr:colOff>
      <xdr:row>14</xdr:row>
      <xdr:rowOff>75641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CDD98C-CFC9-A894-5CA0-C18D83B57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938" y="2043112"/>
          <a:ext cx="904875" cy="699529"/>
        </a:xfrm>
        <a:prstGeom prst="rect">
          <a:avLst/>
        </a:prstGeom>
      </xdr:spPr>
    </xdr:pic>
    <xdr:clientData/>
  </xdr:twoCellAnchor>
  <xdr:twoCellAnchor editAs="oneCell">
    <xdr:from>
      <xdr:col>2</xdr:col>
      <xdr:colOff>25925</xdr:colOff>
      <xdr:row>15</xdr:row>
      <xdr:rowOff>172455</xdr:rowOff>
    </xdr:from>
    <xdr:to>
      <xdr:col>2</xdr:col>
      <xdr:colOff>851120</xdr:colOff>
      <xdr:row>17</xdr:row>
      <xdr:rowOff>117250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815E80-378E-E1AE-03BD-BCE4B5EA1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2800" y="3029955"/>
          <a:ext cx="831325" cy="325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52388</xdr:rowOff>
    </xdr:from>
    <xdr:to>
      <xdr:col>0</xdr:col>
      <xdr:colOff>747712</xdr:colOff>
      <xdr:row>22</xdr:row>
      <xdr:rowOff>153679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399A2E-1712-ECA6-AEC8-06D28181C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81388"/>
          <a:ext cx="747712" cy="8632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32361</xdr:rowOff>
    </xdr:from>
    <xdr:to>
      <xdr:col>0</xdr:col>
      <xdr:colOff>1588478</xdr:colOff>
      <xdr:row>17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A14D7C-DCBF-25F1-FFCA-70DFAAE37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080361"/>
          <a:ext cx="1587670" cy="301014"/>
        </a:xfrm>
        <a:prstGeom prst="rect">
          <a:avLst/>
        </a:prstGeom>
      </xdr:spPr>
    </xdr:pic>
    <xdr:clientData/>
  </xdr:twoCellAnchor>
  <xdr:twoCellAnchor>
    <xdr:from>
      <xdr:col>11</xdr:col>
      <xdr:colOff>136071</xdr:colOff>
      <xdr:row>36</xdr:row>
      <xdr:rowOff>217712</xdr:rowOff>
    </xdr:from>
    <xdr:to>
      <xdr:col>20</xdr:col>
      <xdr:colOff>149678</xdr:colOff>
      <xdr:row>55</xdr:row>
      <xdr:rowOff>68035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DEEA35-F3FB-7C0E-9239-CDC8A0934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244929</xdr:colOff>
      <xdr:row>18</xdr:row>
      <xdr:rowOff>149677</xdr:rowOff>
    </xdr:from>
    <xdr:to>
      <xdr:col>18</xdr:col>
      <xdr:colOff>530679</xdr:colOff>
      <xdr:row>35</xdr:row>
      <xdr:rowOff>122463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B068B7-C7D7-C4F3-2F57-A140D2648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312964</xdr:colOff>
      <xdr:row>74</xdr:row>
      <xdr:rowOff>180810</xdr:rowOff>
    </xdr:from>
    <xdr:to>
      <xdr:col>6</xdr:col>
      <xdr:colOff>54973</xdr:colOff>
      <xdr:row>90</xdr:row>
      <xdr:rowOff>139466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364CC9-3065-B975-DC1B-D5DE91FF8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90607" y="14903739"/>
          <a:ext cx="2436223" cy="3006656"/>
        </a:xfrm>
        <a:prstGeom prst="rect">
          <a:avLst/>
        </a:prstGeom>
      </xdr:spPr>
    </xdr:pic>
    <xdr:clientData/>
  </xdr:twoCellAnchor>
  <xdr:twoCellAnchor editAs="oneCell">
    <xdr:from>
      <xdr:col>6</xdr:col>
      <xdr:colOff>1401536</xdr:colOff>
      <xdr:row>75</xdr:row>
      <xdr:rowOff>136072</xdr:rowOff>
    </xdr:from>
    <xdr:to>
      <xdr:col>9</xdr:col>
      <xdr:colOff>20883</xdr:colOff>
      <xdr:row>83</xdr:row>
      <xdr:rowOff>126758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39A0A54-D549-BEDE-E225-1208695C8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06643" y="15049501"/>
          <a:ext cx="3381847" cy="1514686"/>
        </a:xfrm>
        <a:prstGeom prst="rect">
          <a:avLst/>
        </a:prstGeom>
      </xdr:spPr>
    </xdr:pic>
    <xdr:clientData/>
  </xdr:twoCellAnchor>
  <xdr:twoCellAnchor editAs="oneCell">
    <xdr:from>
      <xdr:col>6</xdr:col>
      <xdr:colOff>1374323</xdr:colOff>
      <xdr:row>84</xdr:row>
      <xdr:rowOff>176894</xdr:rowOff>
    </xdr:from>
    <xdr:to>
      <xdr:col>11</xdr:col>
      <xdr:colOff>378977</xdr:colOff>
      <xdr:row>93</xdr:row>
      <xdr:rowOff>72344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0D1B65-C6CF-36A8-A4F9-0791C4F2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79430" y="16804823"/>
          <a:ext cx="4991797" cy="160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topLeftCell="A71" zoomScaleNormal="100" workbookViewId="0">
      <selection activeCell="B81" sqref="B81"/>
    </sheetView>
  </sheetViews>
  <sheetFormatPr defaultRowHeight="15" x14ac:dyDescent="0.25"/>
  <cols>
    <col min="1" max="1" width="27.42578125" customWidth="1"/>
    <col min="2" max="2" width="25.42578125" customWidth="1"/>
    <col min="3" max="3" width="24.28515625" customWidth="1"/>
    <col min="4" max="4" width="15.42578125" customWidth="1"/>
    <col min="5" max="5" width="20" customWidth="1"/>
    <col min="6" max="6" width="20.42578125" customWidth="1"/>
    <col min="7" max="7" width="28.7109375" customWidth="1"/>
    <col min="8" max="8" width="24.28515625" customWidth="1"/>
    <col min="9" max="9" width="18.28515625" customWidth="1"/>
  </cols>
  <sheetData>
    <row r="1" spans="1:3" x14ac:dyDescent="0.25">
      <c r="A1" t="s">
        <v>0</v>
      </c>
      <c r="B1">
        <f>500+50*B2</f>
        <v>2900</v>
      </c>
      <c r="C1" t="s">
        <v>52</v>
      </c>
    </row>
    <row r="2" spans="1:3" x14ac:dyDescent="0.25">
      <c r="A2" t="s">
        <v>1</v>
      </c>
      <c r="B2">
        <v>48</v>
      </c>
    </row>
    <row r="4" spans="1:3" x14ac:dyDescent="0.25">
      <c r="A4" t="s">
        <v>26</v>
      </c>
    </row>
    <row r="6" spans="1:3" ht="17.25" x14ac:dyDescent="0.25">
      <c r="A6" t="s">
        <v>19</v>
      </c>
      <c r="B6">
        <v>2113.6120000000001</v>
      </c>
      <c r="C6" t="s">
        <v>53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s="1" t="s">
        <v>27</v>
      </c>
    </row>
    <row r="25" spans="1:8" x14ac:dyDescent="0.25">
      <c r="A25" t="s">
        <v>2</v>
      </c>
    </row>
    <row r="26" spans="1:8" x14ac:dyDescent="0.25">
      <c r="A26" t="s">
        <v>3</v>
      </c>
      <c r="B26" t="s">
        <v>4</v>
      </c>
      <c r="C26" t="s">
        <v>5</v>
      </c>
      <c r="D26" t="s">
        <v>6</v>
      </c>
      <c r="E26" t="s">
        <v>66</v>
      </c>
      <c r="F26" t="s">
        <v>64</v>
      </c>
      <c r="G26" t="s">
        <v>65</v>
      </c>
      <c r="H26" t="s">
        <v>28</v>
      </c>
    </row>
    <row r="27" spans="1:8" ht="17.25" x14ac:dyDescent="0.25">
      <c r="A27" t="s">
        <v>7</v>
      </c>
      <c r="B27">
        <v>3.117E-2</v>
      </c>
      <c r="C27">
        <v>0.86439999999999995</v>
      </c>
      <c r="D27">
        <v>0</v>
      </c>
      <c r="E27" t="s">
        <v>51</v>
      </c>
      <c r="F27">
        <v>1.872088783110974</v>
      </c>
      <c r="G27">
        <f>H27-F27</f>
        <v>21.456509367349003</v>
      </c>
      <c r="H27">
        <f>B27*POWER(B6,C27)*POWER(B1,D27)</f>
        <v>23.328598150459978</v>
      </c>
    </row>
    <row r="28" spans="1:8" ht="17.25" x14ac:dyDescent="0.25">
      <c r="A28" t="s">
        <v>8</v>
      </c>
      <c r="B28">
        <v>2.4170000000000001E-2</v>
      </c>
      <c r="C28">
        <v>0.87519999999999998</v>
      </c>
      <c r="D28">
        <v>0</v>
      </c>
      <c r="E28" t="s">
        <v>51</v>
      </c>
      <c r="F28">
        <v>1.872088783110974</v>
      </c>
      <c r="G28">
        <f>H28-F28</f>
        <v>17.776834780085618</v>
      </c>
      <c r="H28">
        <f>B28*POWER(B6,C28)*POWER(B1,D28)</f>
        <v>19.648923563196593</v>
      </c>
    </row>
    <row r="29" spans="1:8" ht="17.25" x14ac:dyDescent="0.25">
      <c r="A29" t="s">
        <v>9</v>
      </c>
      <c r="B29">
        <v>2.053E-2</v>
      </c>
      <c r="C29">
        <v>0.89019999999999999</v>
      </c>
      <c r="D29">
        <v>0</v>
      </c>
      <c r="E29" t="s">
        <v>51</v>
      </c>
      <c r="F29">
        <v>1.872088783110974</v>
      </c>
      <c r="G29">
        <f>H29-F29</f>
        <v>16.848799047998764</v>
      </c>
      <c r="H29">
        <f>B29*POWER(B6,C29)*POWER(B1,D29)</f>
        <v>18.720887831109739</v>
      </c>
    </row>
    <row r="30" spans="1:8" ht="17.25" x14ac:dyDescent="0.25">
      <c r="A30" t="s">
        <v>10</v>
      </c>
      <c r="B30">
        <v>1.7829999999999999E-2</v>
      </c>
      <c r="C30">
        <v>0.95579999999999998</v>
      </c>
      <c r="D30">
        <v>0</v>
      </c>
      <c r="E30" t="s">
        <v>51</v>
      </c>
      <c r="F30">
        <v>1.872088783110974</v>
      </c>
      <c r="G30">
        <f>H30-F30</f>
        <v>24.994374065717377</v>
      </c>
      <c r="H30">
        <f>B30*POWER(B6,C30)*POWER(B1,D30)</f>
        <v>26.866462848828352</v>
      </c>
    </row>
    <row r="31" spans="1:8" ht="17.25" x14ac:dyDescent="0.25">
      <c r="A31" t="s">
        <v>11</v>
      </c>
      <c r="B31">
        <v>1.193E-2</v>
      </c>
      <c r="C31">
        <v>0.9657</v>
      </c>
      <c r="D31">
        <v>0</v>
      </c>
      <c r="E31" t="s">
        <v>51</v>
      </c>
      <c r="F31">
        <v>1.872088783110974</v>
      </c>
      <c r="G31">
        <f>H31-F31</f>
        <v>17.519676374272645</v>
      </c>
      <c r="H31">
        <f>B31*POWER(B6,C31)*POWER(B1,D31)</f>
        <v>19.39176515738362</v>
      </c>
    </row>
    <row r="32" spans="1:8" ht="17.25" x14ac:dyDescent="0.25">
      <c r="A32" t="s">
        <v>12</v>
      </c>
      <c r="B32">
        <v>1.1350000000000001E-2</v>
      </c>
      <c r="C32">
        <v>0.9466</v>
      </c>
      <c r="D32">
        <v>0.2402</v>
      </c>
      <c r="E32" t="s">
        <v>51</v>
      </c>
      <c r="F32">
        <v>1.872088783110974</v>
      </c>
      <c r="G32">
        <v>52.578067578546936</v>
      </c>
      <c r="H32">
        <f>B32*POWER(B6,C32)*POWER(B1,D32)</f>
        <v>108.1764630008973</v>
      </c>
    </row>
    <row r="33" spans="1:8" ht="17.25" x14ac:dyDescent="0.25">
      <c r="A33" t="s">
        <v>13</v>
      </c>
      <c r="B33">
        <v>1.6410000000000001E-2</v>
      </c>
      <c r="C33">
        <v>0.92159999999999997</v>
      </c>
      <c r="D33">
        <v>0.35339999999999999</v>
      </c>
      <c r="E33" t="s">
        <v>51</v>
      </c>
      <c r="F33">
        <v>1.872088783110974</v>
      </c>
      <c r="G33">
        <v>52.578067578546936</v>
      </c>
      <c r="H33">
        <f>B33*POWER(B6,C33)*POWER(B1,D33)</f>
        <v>318.46618005729994</v>
      </c>
    </row>
    <row r="34" spans="1:8" ht="17.25" x14ac:dyDescent="0.25">
      <c r="A34" t="s">
        <v>14</v>
      </c>
      <c r="B34">
        <v>2.5919999999999999E-2</v>
      </c>
      <c r="C34">
        <v>0.90949999999999998</v>
      </c>
      <c r="D34">
        <v>0.32419999999999999</v>
      </c>
      <c r="E34" t="s">
        <v>51</v>
      </c>
      <c r="F34">
        <v>1.872088783110974</v>
      </c>
      <c r="G34">
        <v>52.578067578546936</v>
      </c>
      <c r="H34">
        <f>B34*POWER(B6,C34)*POWER(B1,D34)</f>
        <v>363.29122463185661</v>
      </c>
    </row>
    <row r="35" spans="1:8" ht="17.25" x14ac:dyDescent="0.25">
      <c r="A35" t="s">
        <v>67</v>
      </c>
      <c r="B35">
        <v>2.206E-2</v>
      </c>
      <c r="C35">
        <v>0.89629999999999999</v>
      </c>
      <c r="D35">
        <v>0.32169999999999999</v>
      </c>
      <c r="E35" t="s">
        <v>51</v>
      </c>
      <c r="F35">
        <v>1.872088783110974</v>
      </c>
      <c r="G35">
        <v>52.578067578546936</v>
      </c>
      <c r="H35">
        <f>B35*POWER(B6,C35)*POWER(B1,D35)</f>
        <v>273.9549108657427</v>
      </c>
    </row>
    <row r="36" spans="1:8" ht="17.25" x14ac:dyDescent="0.25">
      <c r="A36" t="s">
        <v>16</v>
      </c>
      <c r="B36">
        <v>1.504E-2</v>
      </c>
      <c r="C36">
        <v>0.87719999999999998</v>
      </c>
      <c r="D36">
        <v>0.2848</v>
      </c>
      <c r="E36" t="s">
        <v>51</v>
      </c>
      <c r="F36">
        <v>1.872088783110974</v>
      </c>
      <c r="G36">
        <v>52.578067578546936</v>
      </c>
      <c r="H36">
        <f>B36*POWER(B6,C36)*POWER(B1,D36)</f>
        <v>120.24054868637657</v>
      </c>
    </row>
    <row r="37" spans="1:8" ht="17.25" x14ac:dyDescent="0.25">
      <c r="A37" t="s">
        <v>17</v>
      </c>
      <c r="B37">
        <v>7.92E-3</v>
      </c>
      <c r="C37">
        <v>0.88039999999999996</v>
      </c>
      <c r="D37">
        <v>0.2707</v>
      </c>
      <c r="E37" t="s">
        <v>51</v>
      </c>
      <c r="F37">
        <v>1.872088783110974</v>
      </c>
      <c r="G37">
        <v>52.578067578546936</v>
      </c>
      <c r="H37">
        <f>B37*POWER(B6,C37)*POWER(B1,D37)</f>
        <v>57.989393128626553</v>
      </c>
    </row>
    <row r="38" spans="1:8" ht="17.25" x14ac:dyDescent="0.25">
      <c r="A38" t="s">
        <v>18</v>
      </c>
      <c r="B38">
        <v>5.3800000000000002E-3</v>
      </c>
      <c r="C38">
        <v>0.88900000000000001</v>
      </c>
      <c r="D38">
        <v>0.25800000000000001</v>
      </c>
      <c r="E38" t="s">
        <v>51</v>
      </c>
      <c r="F38">
        <v>1.872088783110974</v>
      </c>
      <c r="G38">
        <f>H38-F38</f>
        <v>36.149338920199476</v>
      </c>
      <c r="H38">
        <f>B38*POWER(B6,C38)*POWER(B1,D38)</f>
        <v>38.021427703310451</v>
      </c>
    </row>
    <row r="40" spans="1:8" x14ac:dyDescent="0.25">
      <c r="A40" t="s">
        <v>29</v>
      </c>
    </row>
    <row r="41" spans="1:8" x14ac:dyDescent="0.25">
      <c r="A41" t="s">
        <v>34</v>
      </c>
      <c r="B41" t="s">
        <v>30</v>
      </c>
      <c r="C41" t="s">
        <v>31</v>
      </c>
      <c r="D41" t="s">
        <v>32</v>
      </c>
      <c r="E41" t="s">
        <v>33</v>
      </c>
    </row>
    <row r="42" spans="1:8" ht="17.25" x14ac:dyDescent="0.25">
      <c r="A42" t="s">
        <v>35</v>
      </c>
      <c r="B42">
        <v>0.81200000000000006</v>
      </c>
      <c r="C42">
        <v>0.53369999999999995</v>
      </c>
      <c r="D42">
        <v>6.14105E-2</v>
      </c>
      <c r="E42">
        <f>D42*POWER(2113.612,B42)*POWER(2900,C42)</f>
        <v>2167.9285305408648</v>
      </c>
      <c r="F42" t="s">
        <v>51</v>
      </c>
    </row>
    <row r="43" spans="1:8" ht="17.25" x14ac:dyDescent="0.25">
      <c r="A43" t="s">
        <v>36</v>
      </c>
      <c r="B43">
        <v>0.92789999999999995</v>
      </c>
      <c r="C43">
        <v>0.29859999999999998</v>
      </c>
      <c r="D43">
        <v>1.24336E-2</v>
      </c>
      <c r="E43">
        <f t="shared" ref="E43:E48" si="0">D43*POWER(2113.612,B43)*POWER(2900,C43)</f>
        <v>163.59117738618727</v>
      </c>
      <c r="F43" t="s">
        <v>51</v>
      </c>
    </row>
    <row r="44" spans="1:8" ht="17.25" x14ac:dyDescent="0.25">
      <c r="A44" t="s">
        <v>37</v>
      </c>
      <c r="B44">
        <v>0.92390000000000005</v>
      </c>
      <c r="C44">
        <v>0.20180000000000001</v>
      </c>
      <c r="D44">
        <v>8.9146E-3</v>
      </c>
      <c r="E44">
        <f t="shared" si="0"/>
        <v>52.578067578546936</v>
      </c>
      <c r="F44" t="s">
        <v>51</v>
      </c>
    </row>
    <row r="45" spans="1:8" ht="17.25" x14ac:dyDescent="0.25">
      <c r="A45" t="s">
        <v>38</v>
      </c>
      <c r="B45">
        <v>0.90439999999999998</v>
      </c>
      <c r="C45">
        <v>0</v>
      </c>
      <c r="D45">
        <v>2.4831300000000001E-2</v>
      </c>
      <c r="E45">
        <f t="shared" si="0"/>
        <v>25.24365914514124</v>
      </c>
      <c r="F45" t="s">
        <v>51</v>
      </c>
    </row>
    <row r="46" spans="1:8" ht="17.25" x14ac:dyDescent="0.25">
      <c r="A46" t="s">
        <v>39</v>
      </c>
      <c r="B46">
        <v>0.92559999999999998</v>
      </c>
      <c r="C46">
        <v>0</v>
      </c>
      <c r="D46">
        <v>1.44905E-2</v>
      </c>
      <c r="E46">
        <f t="shared" si="0"/>
        <v>17.32713493234111</v>
      </c>
      <c r="F46" t="s">
        <v>51</v>
      </c>
    </row>
    <row r="47" spans="1:8" ht="17.25" x14ac:dyDescent="0.25">
      <c r="A47" t="s">
        <v>40</v>
      </c>
      <c r="B47">
        <v>0.95309999999999995</v>
      </c>
      <c r="C47">
        <v>0</v>
      </c>
      <c r="D47">
        <v>8.6449000000000005E-3</v>
      </c>
      <c r="E47">
        <f t="shared" si="0"/>
        <v>12.759732064378053</v>
      </c>
      <c r="F47" t="s">
        <v>51</v>
      </c>
    </row>
    <row r="48" spans="1:8" ht="17.25" x14ac:dyDescent="0.25">
      <c r="A48" t="s">
        <v>41</v>
      </c>
      <c r="B48">
        <v>1.1689000000000001</v>
      </c>
      <c r="C48">
        <v>0</v>
      </c>
      <c r="D48">
        <v>7.3820000000000005E-4</v>
      </c>
      <c r="E48">
        <f t="shared" si="0"/>
        <v>5.6858588502995797</v>
      </c>
      <c r="F48" t="s">
        <v>51</v>
      </c>
    </row>
    <row r="49" spans="1:6" x14ac:dyDescent="0.25">
      <c r="A49" t="s">
        <v>43</v>
      </c>
    </row>
    <row r="50" spans="1:6" ht="17.25" x14ac:dyDescent="0.25">
      <c r="A50" t="s">
        <v>42</v>
      </c>
      <c r="B50">
        <v>52.5780675785469</v>
      </c>
      <c r="C50" t="s">
        <v>51</v>
      </c>
    </row>
    <row r="51" spans="1:6" ht="17.25" x14ac:dyDescent="0.25">
      <c r="A51" t="s">
        <v>44</v>
      </c>
      <c r="B51">
        <v>18.720887831109739</v>
      </c>
      <c r="C51" t="s">
        <v>51</v>
      </c>
    </row>
    <row r="52" spans="1:6" ht="17.25" x14ac:dyDescent="0.25">
      <c r="A52" t="s">
        <v>45</v>
      </c>
      <c r="B52">
        <f>0.1*B51</f>
        <v>1.872088783110974</v>
      </c>
      <c r="C52" t="s">
        <v>51</v>
      </c>
    </row>
    <row r="53" spans="1:6" x14ac:dyDescent="0.25">
      <c r="A53" t="s">
        <v>20</v>
      </c>
      <c r="B53">
        <v>558</v>
      </c>
      <c r="C53" t="s">
        <v>54</v>
      </c>
    </row>
    <row r="54" spans="1:6" x14ac:dyDescent="0.25">
      <c r="A54" t="s">
        <v>46</v>
      </c>
      <c r="B54">
        <f>B53-0.05*B53</f>
        <v>530.1</v>
      </c>
      <c r="C54" t="s">
        <v>54</v>
      </c>
    </row>
    <row r="55" spans="1:6" x14ac:dyDescent="0.25">
      <c r="A55" t="s">
        <v>47</v>
      </c>
      <c r="B55">
        <f>9.81*B50*B54</f>
        <v>273420.72584543348</v>
      </c>
      <c r="C55" t="s">
        <v>49</v>
      </c>
    </row>
    <row r="56" spans="1:6" x14ac:dyDescent="0.25">
      <c r="A56" t="s">
        <v>48</v>
      </c>
      <c r="B56">
        <f>0.9*0.97*B55</f>
        <v>238696.29366306344</v>
      </c>
      <c r="C56" t="s">
        <v>50</v>
      </c>
    </row>
    <row r="58" spans="1:6" x14ac:dyDescent="0.25">
      <c r="A58" t="s">
        <v>55</v>
      </c>
      <c r="B58" t="s">
        <v>56</v>
      </c>
    </row>
    <row r="60" spans="1:6" x14ac:dyDescent="0.25">
      <c r="A60" t="s">
        <v>3</v>
      </c>
      <c r="B60" t="s">
        <v>57</v>
      </c>
      <c r="C60" t="s">
        <v>59</v>
      </c>
      <c r="D60" t="s">
        <v>58</v>
      </c>
      <c r="E60" t="s">
        <v>60</v>
      </c>
      <c r="F60" t="s">
        <v>61</v>
      </c>
    </row>
    <row r="61" spans="1:6" x14ac:dyDescent="0.25">
      <c r="A61" t="s">
        <v>7</v>
      </c>
      <c r="B61">
        <v>23.328598150459978</v>
      </c>
      <c r="C61">
        <f>B61-1.87208878311097</f>
        <v>21.456509367349007</v>
      </c>
      <c r="D61">
        <f>0.001*0.9*0.97*9.81*C61*530.1</f>
        <v>97.40923348470001</v>
      </c>
      <c r="E61">
        <f>D61*24*F61/1000</f>
        <v>72.472469712616814</v>
      </c>
      <c r="F61">
        <v>31</v>
      </c>
    </row>
    <row r="62" spans="1:6" x14ac:dyDescent="0.25">
      <c r="A62" t="s">
        <v>8</v>
      </c>
      <c r="B62">
        <v>19.648923563196593</v>
      </c>
      <c r="C62">
        <f t="shared" ref="C62:C65" si="1">B62-1.87208878311097</f>
        <v>17.776834780085622</v>
      </c>
      <c r="D62">
        <f t="shared" ref="D62:D72" si="2">0.001*0.9*0.97*9.81*C62*530.1</f>
        <v>80.704080056347109</v>
      </c>
      <c r="E62">
        <f t="shared" ref="E62:E72" si="3">D62*24*F62/1000</f>
        <v>55.201590758541421</v>
      </c>
      <c r="F62">
        <v>28.5</v>
      </c>
    </row>
    <row r="63" spans="1:6" x14ac:dyDescent="0.25">
      <c r="A63" t="s">
        <v>9</v>
      </c>
      <c r="B63">
        <v>18.720887831109739</v>
      </c>
      <c r="C63">
        <f t="shared" si="1"/>
        <v>16.848799047998767</v>
      </c>
      <c r="D63">
        <f t="shared" si="2"/>
        <v>76.490941387736086</v>
      </c>
      <c r="E63">
        <f t="shared" si="3"/>
        <v>56.909260392475645</v>
      </c>
      <c r="F63">
        <v>31</v>
      </c>
    </row>
    <row r="64" spans="1:6" x14ac:dyDescent="0.25">
      <c r="A64" t="s">
        <v>10</v>
      </c>
      <c r="B64">
        <v>26.866462848828352</v>
      </c>
      <c r="C64">
        <f t="shared" si="1"/>
        <v>24.994374065717381</v>
      </c>
      <c r="D64">
        <f t="shared" si="2"/>
        <v>113.47059195361582</v>
      </c>
      <c r="E64">
        <f t="shared" si="3"/>
        <v>81.6988262066034</v>
      </c>
      <c r="F64">
        <v>30</v>
      </c>
    </row>
    <row r="65" spans="1:6" x14ac:dyDescent="0.25">
      <c r="A65" t="s">
        <v>11</v>
      </c>
      <c r="B65">
        <v>19.39176515738362</v>
      </c>
      <c r="C65">
        <f t="shared" si="1"/>
        <v>17.519676374272649</v>
      </c>
      <c r="D65">
        <f t="shared" si="2"/>
        <v>79.536620673018533</v>
      </c>
      <c r="E65">
        <f t="shared" si="3"/>
        <v>59.175245780725781</v>
      </c>
      <c r="F65">
        <v>31</v>
      </c>
    </row>
    <row r="66" spans="1:6" x14ac:dyDescent="0.25">
      <c r="A66" t="s">
        <v>12</v>
      </c>
      <c r="B66">
        <v>108.1764630008973</v>
      </c>
      <c r="C66">
        <v>52.578067578546936</v>
      </c>
      <c r="D66">
        <f>0.001*0.9*0.97*9.81*C66*530.1</f>
        <v>238.69629366306361</v>
      </c>
      <c r="E66">
        <f>D66*24*F66/1000</f>
        <v>171.86133143740579</v>
      </c>
      <c r="F66">
        <v>30</v>
      </c>
    </row>
    <row r="67" spans="1:6" x14ac:dyDescent="0.25">
      <c r="A67" t="s">
        <v>13</v>
      </c>
      <c r="B67">
        <v>318.46618005729994</v>
      </c>
      <c r="C67">
        <v>52.578067578546936</v>
      </c>
      <c r="D67">
        <f t="shared" si="2"/>
        <v>238.69629366306361</v>
      </c>
      <c r="E67">
        <f t="shared" si="3"/>
        <v>177.59004248531932</v>
      </c>
      <c r="F67">
        <v>31</v>
      </c>
    </row>
    <row r="68" spans="1:6" x14ac:dyDescent="0.25">
      <c r="A68" t="s">
        <v>14</v>
      </c>
      <c r="B68">
        <v>363.29122463185661</v>
      </c>
      <c r="C68">
        <v>52.578067578546936</v>
      </c>
      <c r="D68">
        <f t="shared" si="2"/>
        <v>238.69629366306361</v>
      </c>
      <c r="E68">
        <f t="shared" si="3"/>
        <v>177.59004248531932</v>
      </c>
      <c r="F68">
        <v>31</v>
      </c>
    </row>
    <row r="69" spans="1:6" x14ac:dyDescent="0.25">
      <c r="A69" t="s">
        <v>15</v>
      </c>
      <c r="B69">
        <v>273.9549108657427</v>
      </c>
      <c r="C69">
        <v>52.578067578546936</v>
      </c>
      <c r="D69">
        <f t="shared" si="2"/>
        <v>238.69629366306361</v>
      </c>
      <c r="E69">
        <f t="shared" si="3"/>
        <v>171.86133143740579</v>
      </c>
      <c r="F69">
        <v>30</v>
      </c>
    </row>
    <row r="70" spans="1:6" x14ac:dyDescent="0.25">
      <c r="A70" t="s">
        <v>16</v>
      </c>
      <c r="B70">
        <v>120.24054868637657</v>
      </c>
      <c r="C70">
        <v>52.578067578546936</v>
      </c>
      <c r="D70">
        <f t="shared" si="2"/>
        <v>238.69629366306361</v>
      </c>
      <c r="E70">
        <f t="shared" si="3"/>
        <v>177.59004248531932</v>
      </c>
      <c r="F70">
        <v>31</v>
      </c>
    </row>
    <row r="71" spans="1:6" x14ac:dyDescent="0.25">
      <c r="A71" t="s">
        <v>17</v>
      </c>
      <c r="B71">
        <v>57.989393128626553</v>
      </c>
      <c r="C71">
        <v>52.578067578546936</v>
      </c>
      <c r="D71">
        <f t="shared" si="2"/>
        <v>238.69629366306361</v>
      </c>
      <c r="E71">
        <f t="shared" si="3"/>
        <v>171.86133143740579</v>
      </c>
      <c r="F71">
        <v>30</v>
      </c>
    </row>
    <row r="72" spans="1:6" x14ac:dyDescent="0.25">
      <c r="A72" t="s">
        <v>18</v>
      </c>
      <c r="B72">
        <v>38.021427703310451</v>
      </c>
      <c r="C72">
        <f t="shared" ref="C72" si="4">B72-1.87208878311097</f>
        <v>36.149338920199483</v>
      </c>
      <c r="D72">
        <f t="shared" si="2"/>
        <v>164.11240686491615</v>
      </c>
      <c r="E72">
        <f t="shared" si="3"/>
        <v>122.09963070749762</v>
      </c>
      <c r="F72">
        <v>31</v>
      </c>
    </row>
    <row r="73" spans="1:6" x14ac:dyDescent="0.25">
      <c r="D73" t="s">
        <v>62</v>
      </c>
      <c r="E73">
        <f>SUM(E61:E72)</f>
        <v>1495.9111453266364</v>
      </c>
    </row>
    <row r="74" spans="1:6" x14ac:dyDescent="0.25">
      <c r="D74" t="s">
        <v>63</v>
      </c>
      <c r="E74">
        <f>0.95*E73</f>
        <v>1421.1155880603046</v>
      </c>
    </row>
    <row r="76" spans="1:6" x14ac:dyDescent="0.25">
      <c r="A76" t="s">
        <v>68</v>
      </c>
      <c r="B76">
        <v>5</v>
      </c>
    </row>
    <row r="77" spans="1:6" x14ac:dyDescent="0.25">
      <c r="A77" t="s">
        <v>69</v>
      </c>
      <c r="B77">
        <f>B50/B76</f>
        <v>10.515613515709379</v>
      </c>
    </row>
    <row r="78" spans="1:6" x14ac:dyDescent="0.25">
      <c r="A78" t="s">
        <v>70</v>
      </c>
      <c r="B78">
        <f>B56/B76</f>
        <v>47739.258732612689</v>
      </c>
      <c r="C78">
        <f>B78/1000</f>
        <v>47.73925873261269</v>
      </c>
      <c r="D78">
        <f>C78/0.85</f>
        <v>56.163833803073757</v>
      </c>
    </row>
    <row r="79" spans="1:6" x14ac:dyDescent="0.25">
      <c r="A79" t="s">
        <v>71</v>
      </c>
      <c r="B79">
        <v>0.85</v>
      </c>
      <c r="D79">
        <f>5*D78</f>
        <v>280.8191690153688</v>
      </c>
    </row>
    <row r="80" spans="1:6" x14ac:dyDescent="0.25">
      <c r="A80" t="s">
        <v>72</v>
      </c>
      <c r="B80" t="s">
        <v>74</v>
      </c>
    </row>
    <row r="81" spans="1:3" x14ac:dyDescent="0.25">
      <c r="A81" t="s">
        <v>73</v>
      </c>
      <c r="B81">
        <v>30</v>
      </c>
    </row>
    <row r="82" spans="1:3" x14ac:dyDescent="0.25">
      <c r="A82" t="s">
        <v>75</v>
      </c>
      <c r="B82" s="2">
        <f>57277.735/42.712</f>
        <v>1341.0220781045139</v>
      </c>
    </row>
    <row r="83" spans="1:3" x14ac:dyDescent="0.25">
      <c r="A83" t="s">
        <v>76</v>
      </c>
      <c r="B83">
        <f>C78*B82</f>
        <v>64019.399952777334</v>
      </c>
    </row>
    <row r="84" spans="1:3" x14ac:dyDescent="0.25">
      <c r="A84" t="s">
        <v>77</v>
      </c>
      <c r="B84">
        <f>(B81*POWER(B54,1.25)/(SQRT(B83)))</f>
        <v>301.58706470919918</v>
      </c>
    </row>
    <row r="85" spans="1:3" x14ac:dyDescent="0.25">
      <c r="A85" t="s">
        <v>78</v>
      </c>
      <c r="B85">
        <v>20</v>
      </c>
    </row>
    <row r="86" spans="1:3" x14ac:dyDescent="0.25">
      <c r="A86" t="s">
        <v>79</v>
      </c>
      <c r="B86">
        <f>E74/B87</f>
        <v>0.68908053961026083</v>
      </c>
    </row>
    <row r="87" spans="1:3" x14ac:dyDescent="0.25">
      <c r="A87" t="s">
        <v>80</v>
      </c>
      <c r="B87">
        <f>0.9*0.97*9.81*B50*B54*24*30*12/1000000</f>
        <v>2062.3359772488679</v>
      </c>
    </row>
    <row r="90" spans="1:3" x14ac:dyDescent="0.25">
      <c r="A90" t="s">
        <v>81</v>
      </c>
    </row>
    <row r="91" spans="1:3" x14ac:dyDescent="0.25">
      <c r="A91" t="s">
        <v>82</v>
      </c>
      <c r="B91">
        <v>0.97</v>
      </c>
    </row>
    <row r="92" spans="1:3" x14ac:dyDescent="0.25">
      <c r="A92" t="s">
        <v>83</v>
      </c>
      <c r="B92">
        <f>B91*SQRT(2*9.81*B54)</f>
        <v>98.923651296340665</v>
      </c>
    </row>
    <row r="93" spans="1:3" x14ac:dyDescent="0.25">
      <c r="A93" t="s">
        <v>84</v>
      </c>
      <c r="B93">
        <v>0.45</v>
      </c>
    </row>
    <row r="94" spans="1:3" x14ac:dyDescent="0.25">
      <c r="A94" t="s">
        <v>85</v>
      </c>
      <c r="B94">
        <f>(60*B93*SQRT(2*9.81*B54))/(PI()*B84)</f>
        <v>2.9062273445561346</v>
      </c>
    </row>
    <row r="95" spans="1:3" x14ac:dyDescent="0.25">
      <c r="A95" t="s">
        <v>86</v>
      </c>
      <c r="B95">
        <f>SQRT((4*B77)/(2*PI()*B92))</f>
        <v>0.2601400985918455</v>
      </c>
    </row>
    <row r="96" spans="1:3" x14ac:dyDescent="0.25">
      <c r="A96" t="s">
        <v>54</v>
      </c>
      <c r="B96">
        <f>B94/B95</f>
        <v>11.171777670138988</v>
      </c>
      <c r="C96">
        <v>11</v>
      </c>
    </row>
    <row r="97" spans="1:3" x14ac:dyDescent="0.25">
      <c r="A97" t="s">
        <v>87</v>
      </c>
      <c r="B97">
        <f>15+(B94/(2*B95))</f>
        <v>20.585888835069493</v>
      </c>
      <c r="C97">
        <v>21</v>
      </c>
    </row>
    <row r="98" spans="1:3" x14ac:dyDescent="0.25">
      <c r="A98" t="s">
        <v>88</v>
      </c>
      <c r="B98">
        <f>4*B95</f>
        <v>1.040560394367382</v>
      </c>
    </row>
    <row r="99" spans="1:3" x14ac:dyDescent="0.25">
      <c r="A99" t="s">
        <v>89</v>
      </c>
      <c r="B99">
        <f>2.5*B95</f>
        <v>0.65035024647961381</v>
      </c>
    </row>
    <row r="100" spans="1:3" x14ac:dyDescent="0.25">
      <c r="A100" t="s">
        <v>90</v>
      </c>
      <c r="B100">
        <f>B95</f>
        <v>0.2601400985918455</v>
      </c>
    </row>
    <row r="104" spans="1:3" x14ac:dyDescent="0.25">
      <c r="A104" t="s">
        <v>91</v>
      </c>
      <c r="B104">
        <f>1.1*C78</f>
        <v>52.51318460587396</v>
      </c>
      <c r="C104">
        <f>B104/0.85</f>
        <v>61.780217183381133</v>
      </c>
    </row>
    <row r="105" spans="1:3" x14ac:dyDescent="0.25">
      <c r="A105" t="s">
        <v>92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2015-06-05T18:17:20Z</dcterms:created>
  <dcterms:modified xsi:type="dcterms:W3CDTF">2026-02-23T09:48:02Z</dcterms:modified>
</cp:coreProperties>
</file>