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al\OneDrive\"/>
    </mc:Choice>
  </mc:AlternateContent>
  <xr:revisionPtr revIDLastSave="37" documentId="F6CA60B81A96425B7BC020AD093F644FBEC0068A" xr6:coauthVersionLast="21" xr6:coauthVersionMax="21" xr10:uidLastSave="{AB600E03-B6C7-4AD3-B3A4-B0A64EAD73C7}"/>
  <bookViews>
    <workbookView xWindow="0" yWindow="48" windowWidth="19152" windowHeight="11820" activeTab="2" xr2:uid="{00000000-000D-0000-FFFF-FFFF00000000}"/>
  </bookViews>
  <sheets>
    <sheet name="Instructions" sheetId="3" r:id="rId1"/>
    <sheet name="AHP Template - 3 to 15 criteria" sheetId="8" r:id="rId2"/>
    <sheet name="Example - Bike priorities" sheetId="10" r:id="rId3"/>
  </sheets>
  <calcPr calcId="171026"/>
</workbook>
</file>

<file path=xl/calcChain.xml><?xml version="1.0" encoding="utf-8"?>
<calcChain xmlns="http://schemas.openxmlformats.org/spreadsheetml/2006/main">
  <c r="F6" i="10" l="1"/>
  <c r="F7" i="10"/>
  <c r="F8" i="10"/>
  <c r="F23" i="10"/>
  <c r="G7" i="10"/>
  <c r="G8" i="10"/>
  <c r="G23" i="10"/>
  <c r="H8" i="10"/>
  <c r="H23" i="10"/>
  <c r="H25" i="10" s="1"/>
  <c r="I23" i="10"/>
  <c r="I25" i="10" s="1"/>
  <c r="J23" i="10"/>
  <c r="J26" i="10" s="1"/>
  <c r="K23" i="10"/>
  <c r="K25" i="10" s="1"/>
  <c r="L23" i="10"/>
  <c r="L25" i="10"/>
  <c r="M23" i="10"/>
  <c r="M25" i="10" s="1"/>
  <c r="N23" i="10"/>
  <c r="N25" i="10"/>
  <c r="O23" i="10"/>
  <c r="O25" i="10" s="1"/>
  <c r="P23" i="10"/>
  <c r="P25" i="10" s="1"/>
  <c r="Q23" i="10"/>
  <c r="Q25" i="10" s="1"/>
  <c r="R23" i="10"/>
  <c r="R31" i="10" s="1"/>
  <c r="S23" i="10"/>
  <c r="S25" i="10" s="1"/>
  <c r="T23" i="10"/>
  <c r="T25" i="10"/>
  <c r="K26" i="10"/>
  <c r="N26" i="10"/>
  <c r="O26" i="10"/>
  <c r="S26" i="10"/>
  <c r="T26" i="10"/>
  <c r="I27" i="10"/>
  <c r="K27" i="10"/>
  <c r="M27" i="10"/>
  <c r="N27" i="10"/>
  <c r="O27" i="10"/>
  <c r="Q27" i="10"/>
  <c r="S27" i="10"/>
  <c r="T27" i="10"/>
  <c r="H28" i="10"/>
  <c r="I28" i="10"/>
  <c r="M28" i="10"/>
  <c r="P28" i="10"/>
  <c r="Q28" i="10"/>
  <c r="T28" i="10"/>
  <c r="G29" i="10"/>
  <c r="H29" i="10"/>
  <c r="I29" i="10"/>
  <c r="K29" i="10"/>
  <c r="L29" i="10"/>
  <c r="M29" i="10"/>
  <c r="O29" i="10"/>
  <c r="P29" i="10"/>
  <c r="Q29" i="10"/>
  <c r="S29" i="10"/>
  <c r="T29" i="10"/>
  <c r="F30" i="10"/>
  <c r="G30" i="10"/>
  <c r="H30" i="10"/>
  <c r="K30" i="10"/>
  <c r="L30" i="10"/>
  <c r="N30" i="10"/>
  <c r="O30" i="10"/>
  <c r="P30" i="10"/>
  <c r="S30" i="10"/>
  <c r="T30" i="10"/>
  <c r="G31" i="10"/>
  <c r="I31" i="10"/>
  <c r="J31" i="10"/>
  <c r="K31" i="10"/>
  <c r="M31" i="10"/>
  <c r="N31" i="10"/>
  <c r="O31" i="10"/>
  <c r="Q31" i="10"/>
  <c r="S31" i="10"/>
  <c r="T31" i="10"/>
  <c r="H32" i="10"/>
  <c r="I32" i="10"/>
  <c r="L32" i="10"/>
  <c r="M32" i="10"/>
  <c r="N32" i="10"/>
  <c r="P32" i="10"/>
  <c r="Q32" i="10"/>
  <c r="R32" i="10"/>
  <c r="T32" i="10"/>
  <c r="G33" i="10"/>
  <c r="H33" i="10"/>
  <c r="I33" i="10"/>
  <c r="K33" i="10"/>
  <c r="L33" i="10"/>
  <c r="M33" i="10"/>
  <c r="O33" i="10"/>
  <c r="P33" i="10"/>
  <c r="Q33" i="10"/>
  <c r="S33" i="10"/>
  <c r="T33" i="10"/>
  <c r="F34" i="10"/>
  <c r="G34" i="10"/>
  <c r="H34" i="10"/>
  <c r="K34" i="10"/>
  <c r="L34" i="10"/>
  <c r="N34" i="10"/>
  <c r="O34" i="10"/>
  <c r="P34" i="10"/>
  <c r="S34" i="10"/>
  <c r="T34" i="10"/>
  <c r="G35" i="10"/>
  <c r="I35" i="10"/>
  <c r="J35" i="10"/>
  <c r="K35" i="10"/>
  <c r="M35" i="10"/>
  <c r="N35" i="10"/>
  <c r="O35" i="10"/>
  <c r="Q35" i="10"/>
  <c r="S35" i="10"/>
  <c r="T35" i="10"/>
  <c r="H36" i="10"/>
  <c r="I36" i="10"/>
  <c r="L36" i="10"/>
  <c r="M36" i="10"/>
  <c r="N36" i="10"/>
  <c r="P36" i="10"/>
  <c r="Q36" i="10"/>
  <c r="R36" i="10"/>
  <c r="T36" i="10"/>
  <c r="G37" i="10"/>
  <c r="H37" i="10"/>
  <c r="I37" i="10"/>
  <c r="K37" i="10"/>
  <c r="L37" i="10"/>
  <c r="M37" i="10"/>
  <c r="O37" i="10"/>
  <c r="P37" i="10"/>
  <c r="Q37" i="10"/>
  <c r="S37" i="10"/>
  <c r="T37" i="10"/>
  <c r="F38" i="10"/>
  <c r="G38" i="10"/>
  <c r="H38" i="10"/>
  <c r="K38" i="10"/>
  <c r="L38" i="10"/>
  <c r="N38" i="10"/>
  <c r="O38" i="10"/>
  <c r="P38" i="10"/>
  <c r="S38" i="10"/>
  <c r="T38" i="10"/>
  <c r="G39" i="10"/>
  <c r="I39" i="10"/>
  <c r="J39" i="10"/>
  <c r="K39" i="10"/>
  <c r="M39" i="10"/>
  <c r="N39" i="10"/>
  <c r="O39" i="10"/>
  <c r="Q39" i="10"/>
  <c r="S39" i="10"/>
  <c r="T39" i="10"/>
  <c r="AA27" i="10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3" i="8"/>
  <c r="F25" i="8" s="1"/>
  <c r="G7" i="8"/>
  <c r="G8" i="8"/>
  <c r="G9" i="8"/>
  <c r="G10" i="8"/>
  <c r="G23" i="8" s="1"/>
  <c r="G28" i="8" s="1"/>
  <c r="G11" i="8"/>
  <c r="G12" i="8"/>
  <c r="G13" i="8"/>
  <c r="G14" i="8"/>
  <c r="G15" i="8"/>
  <c r="G16" i="8"/>
  <c r="G17" i="8"/>
  <c r="G18" i="8"/>
  <c r="G19" i="8"/>
  <c r="H8" i="8"/>
  <c r="H9" i="8"/>
  <c r="H10" i="8"/>
  <c r="H23" i="8" s="1"/>
  <c r="H35" i="8" s="1"/>
  <c r="H11" i="8"/>
  <c r="H12" i="8"/>
  <c r="H13" i="8"/>
  <c r="H14" i="8"/>
  <c r="H15" i="8"/>
  <c r="H16" i="8"/>
  <c r="H17" i="8"/>
  <c r="H18" i="8"/>
  <c r="H19" i="8"/>
  <c r="I9" i="8"/>
  <c r="I23" i="8" s="1"/>
  <c r="I25" i="8" s="1"/>
  <c r="I10" i="8"/>
  <c r="I11" i="8"/>
  <c r="I12" i="8"/>
  <c r="I13" i="8"/>
  <c r="I14" i="8"/>
  <c r="I15" i="8"/>
  <c r="I16" i="8"/>
  <c r="I17" i="8"/>
  <c r="I18" i="8"/>
  <c r="I19" i="8"/>
  <c r="J10" i="8"/>
  <c r="J11" i="8"/>
  <c r="J23" i="8" s="1"/>
  <c r="J25" i="8" s="1"/>
  <c r="J12" i="8"/>
  <c r="J13" i="8"/>
  <c r="J14" i="8"/>
  <c r="J15" i="8"/>
  <c r="J16" i="8"/>
  <c r="J17" i="8"/>
  <c r="J18" i="8"/>
  <c r="J19" i="8"/>
  <c r="K11" i="8"/>
  <c r="K12" i="8"/>
  <c r="K13" i="8"/>
  <c r="K14" i="8"/>
  <c r="K15" i="8"/>
  <c r="K16" i="8"/>
  <c r="K17" i="8"/>
  <c r="K18" i="8"/>
  <c r="K19" i="8"/>
  <c r="K23" i="8"/>
  <c r="K26" i="8" s="1"/>
  <c r="L12" i="8"/>
  <c r="L13" i="8"/>
  <c r="L14" i="8"/>
  <c r="L15" i="8"/>
  <c r="L16" i="8"/>
  <c r="L17" i="8"/>
  <c r="L18" i="8"/>
  <c r="L19" i="8"/>
  <c r="L23" i="8"/>
  <c r="L27" i="8" s="1"/>
  <c r="M13" i="8"/>
  <c r="M14" i="8"/>
  <c r="M15" i="8"/>
  <c r="M16" i="8"/>
  <c r="M17" i="8"/>
  <c r="M18" i="8"/>
  <c r="M19" i="8"/>
  <c r="M23" i="8"/>
  <c r="M26" i="8" s="1"/>
  <c r="N14" i="8"/>
  <c r="N15" i="8"/>
  <c r="N16" i="8"/>
  <c r="N17" i="8"/>
  <c r="N18" i="8"/>
  <c r="N19" i="8"/>
  <c r="N23" i="8"/>
  <c r="N29" i="8" s="1"/>
  <c r="O15" i="8"/>
  <c r="O16" i="8"/>
  <c r="O17" i="8"/>
  <c r="O18" i="8"/>
  <c r="O19" i="8"/>
  <c r="O23" i="8"/>
  <c r="O28" i="8" s="1"/>
  <c r="P16" i="8"/>
  <c r="P17" i="8"/>
  <c r="P18" i="8"/>
  <c r="P19" i="8"/>
  <c r="P23" i="8"/>
  <c r="P28" i="8" s="1"/>
  <c r="Q17" i="8"/>
  <c r="Q18" i="8"/>
  <c r="Q19" i="8"/>
  <c r="Q23" i="8"/>
  <c r="Q25" i="8" s="1"/>
  <c r="R18" i="8"/>
  <c r="R19" i="8"/>
  <c r="R23" i="8"/>
  <c r="R25" i="8" s="1"/>
  <c r="S19" i="8"/>
  <c r="S23" i="8"/>
  <c r="S27" i="8" s="1"/>
  <c r="T23" i="8"/>
  <c r="T27" i="8" s="1"/>
  <c r="T26" i="8"/>
  <c r="R27" i="8"/>
  <c r="N28" i="8"/>
  <c r="O30" i="8"/>
  <c r="S30" i="8"/>
  <c r="T30" i="8"/>
  <c r="M31" i="8"/>
  <c r="R31" i="8"/>
  <c r="S31" i="8"/>
  <c r="M32" i="8"/>
  <c r="R32" i="8"/>
  <c r="S32" i="8"/>
  <c r="M33" i="8"/>
  <c r="R33" i="8"/>
  <c r="S33" i="8"/>
  <c r="M34" i="8"/>
  <c r="Q34" i="8"/>
  <c r="N35" i="8"/>
  <c r="O35" i="8"/>
  <c r="S35" i="8"/>
  <c r="N36" i="8"/>
  <c r="O36" i="8"/>
  <c r="S36" i="8"/>
  <c r="N37" i="8"/>
  <c r="O37" i="8"/>
  <c r="S37" i="8"/>
  <c r="N38" i="8"/>
  <c r="O38" i="8"/>
  <c r="R38" i="8"/>
  <c r="S38" i="8"/>
  <c r="M39" i="8"/>
  <c r="O39" i="8"/>
  <c r="AA27" i="8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P16" i="10"/>
  <c r="O16" i="10"/>
  <c r="N16" i="10"/>
  <c r="M16" i="10"/>
  <c r="L16" i="10"/>
  <c r="K16" i="10"/>
  <c r="J16" i="10"/>
  <c r="I16" i="10"/>
  <c r="H16" i="10"/>
  <c r="G16" i="10"/>
  <c r="F16" i="10"/>
  <c r="O15" i="10"/>
  <c r="N15" i="10"/>
  <c r="M15" i="10"/>
  <c r="L15" i="10"/>
  <c r="K15" i="10"/>
  <c r="J15" i="10"/>
  <c r="I15" i="10"/>
  <c r="H15" i="10"/>
  <c r="G15" i="10"/>
  <c r="F15" i="10"/>
  <c r="N14" i="10"/>
  <c r="M14" i="10"/>
  <c r="L14" i="10"/>
  <c r="K14" i="10"/>
  <c r="J14" i="10"/>
  <c r="I14" i="10"/>
  <c r="H14" i="10"/>
  <c r="G14" i="10"/>
  <c r="F14" i="10"/>
  <c r="M13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C12" i="10"/>
  <c r="K11" i="10"/>
  <c r="J11" i="10"/>
  <c r="I11" i="10"/>
  <c r="H11" i="10"/>
  <c r="G11" i="10"/>
  <c r="F11" i="10"/>
  <c r="C11" i="10"/>
  <c r="J10" i="10"/>
  <c r="I10" i="10"/>
  <c r="H10" i="10"/>
  <c r="G10" i="10"/>
  <c r="F10" i="10"/>
  <c r="C10" i="10"/>
  <c r="I9" i="10"/>
  <c r="H9" i="10"/>
  <c r="G9" i="10"/>
  <c r="F9" i="10"/>
  <c r="C9" i="10"/>
  <c r="C8" i="10"/>
  <c r="C7" i="10"/>
  <c r="C6" i="10"/>
  <c r="C5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C12" i="8"/>
  <c r="C11" i="8"/>
  <c r="C10" i="8"/>
  <c r="C9" i="8"/>
  <c r="C8" i="8"/>
  <c r="C7" i="8"/>
  <c r="C6" i="8"/>
  <c r="C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I26" i="8" l="1"/>
  <c r="L39" i="8"/>
  <c r="L30" i="8"/>
  <c r="L29" i="8"/>
  <c r="K29" i="8"/>
  <c r="K27" i="8"/>
  <c r="K39" i="8"/>
  <c r="K38" i="8"/>
  <c r="K37" i="8"/>
  <c r="K36" i="8"/>
  <c r="K35" i="8"/>
  <c r="K30" i="8"/>
  <c r="J38" i="8"/>
  <c r="J37" i="8"/>
  <c r="J36" i="8"/>
  <c r="J35" i="8"/>
  <c r="H39" i="8"/>
  <c r="G39" i="8"/>
  <c r="F37" i="8"/>
  <c r="G35" i="8"/>
  <c r="F26" i="8"/>
  <c r="F35" i="8"/>
  <c r="F31" i="8"/>
  <c r="G29" i="8"/>
  <c r="F27" i="8"/>
  <c r="F38" i="8"/>
  <c r="F36" i="8"/>
  <c r="I28" i="8"/>
  <c r="Q39" i="8"/>
  <c r="I34" i="8"/>
  <c r="I33" i="8"/>
  <c r="I32" i="8"/>
  <c r="I31" i="8"/>
  <c r="P30" i="8"/>
  <c r="H30" i="8"/>
  <c r="H29" i="8"/>
  <c r="S26" i="8"/>
  <c r="I39" i="8"/>
  <c r="Q29" i="8"/>
  <c r="P26" i="8"/>
  <c r="M38" i="8"/>
  <c r="R37" i="8"/>
  <c r="I37" i="8"/>
  <c r="M36" i="8"/>
  <c r="R35" i="8"/>
  <c r="I35" i="8"/>
  <c r="L34" i="8"/>
  <c r="Q33" i="8"/>
  <c r="H33" i="8"/>
  <c r="L32" i="8"/>
  <c r="Q31" i="8"/>
  <c r="T29" i="8"/>
  <c r="P29" i="8"/>
  <c r="H28" i="8"/>
  <c r="N26" i="8"/>
  <c r="Q38" i="8"/>
  <c r="I38" i="8"/>
  <c r="M37" i="8"/>
  <c r="R36" i="8"/>
  <c r="I36" i="8"/>
  <c r="M35" i="8"/>
  <c r="T34" i="8"/>
  <c r="P34" i="8"/>
  <c r="H34" i="8"/>
  <c r="L33" i="8"/>
  <c r="Q32" i="8"/>
  <c r="H32" i="8"/>
  <c r="L31" i="8"/>
  <c r="H31" i="8"/>
  <c r="M28" i="8"/>
  <c r="Q27" i="8"/>
  <c r="J27" i="8"/>
  <c r="H26" i="8"/>
  <c r="S39" i="8"/>
  <c r="N39" i="8"/>
  <c r="J39" i="8"/>
  <c r="T38" i="8"/>
  <c r="P38" i="8"/>
  <c r="L38" i="8"/>
  <c r="H38" i="8"/>
  <c r="Q37" i="8"/>
  <c r="L37" i="8"/>
  <c r="H37" i="8"/>
  <c r="Q36" i="8"/>
  <c r="L36" i="8"/>
  <c r="H36" i="8"/>
  <c r="Q35" i="8"/>
  <c r="L35" i="8"/>
  <c r="S34" i="8"/>
  <c r="O34" i="8"/>
  <c r="K34" i="8"/>
  <c r="F34" i="8"/>
  <c r="O33" i="8"/>
  <c r="K33" i="8"/>
  <c r="F33" i="8"/>
  <c r="O32" i="8"/>
  <c r="K32" i="8"/>
  <c r="F32" i="8"/>
  <c r="O31" i="8"/>
  <c r="K31" i="8"/>
  <c r="G31" i="8"/>
  <c r="R30" i="8"/>
  <c r="N30" i="8"/>
  <c r="J30" i="8"/>
  <c r="S29" i="8"/>
  <c r="O29" i="8"/>
  <c r="J29" i="8"/>
  <c r="R28" i="8"/>
  <c r="L28" i="8"/>
  <c r="F28" i="8"/>
  <c r="N27" i="8"/>
  <c r="I27" i="8"/>
  <c r="R26" i="8"/>
  <c r="G26" i="8"/>
  <c r="R39" i="8"/>
  <c r="R34" i="8"/>
  <c r="N34" i="8"/>
  <c r="J34" i="8"/>
  <c r="N33" i="8"/>
  <c r="J33" i="8"/>
  <c r="N32" i="8"/>
  <c r="J32" i="8"/>
  <c r="N31" i="8"/>
  <c r="J31" i="8"/>
  <c r="Q30" i="8"/>
  <c r="M30" i="8"/>
  <c r="I30" i="8"/>
  <c r="R29" i="8"/>
  <c r="M29" i="8"/>
  <c r="I29" i="8"/>
  <c r="Q28" i="8"/>
  <c r="J28" i="8"/>
  <c r="M27" i="8"/>
  <c r="Q26" i="8"/>
  <c r="J26" i="8"/>
  <c r="N25" i="8"/>
  <c r="M25" i="8"/>
  <c r="F39" i="8"/>
  <c r="F30" i="8"/>
  <c r="F25" i="10"/>
  <c r="F28" i="10"/>
  <c r="F29" i="10"/>
  <c r="V29" i="10" s="1"/>
  <c r="V9" i="10" s="1"/>
  <c r="F33" i="10"/>
  <c r="F37" i="10"/>
  <c r="G38" i="8"/>
  <c r="T37" i="8"/>
  <c r="P37" i="8"/>
  <c r="G34" i="8"/>
  <c r="T33" i="8"/>
  <c r="P33" i="8"/>
  <c r="G30" i="8"/>
  <c r="G27" i="8"/>
  <c r="O26" i="8"/>
  <c r="S25" i="8"/>
  <c r="S28" i="8"/>
  <c r="O25" i="8"/>
  <c r="L25" i="8"/>
  <c r="J38" i="10"/>
  <c r="F36" i="10"/>
  <c r="J34" i="10"/>
  <c r="F32" i="10"/>
  <c r="J30" i="10"/>
  <c r="R27" i="10"/>
  <c r="F27" i="10"/>
  <c r="R26" i="10"/>
  <c r="L26" i="10"/>
  <c r="L27" i="10"/>
  <c r="L31" i="10"/>
  <c r="L35" i="10"/>
  <c r="L39" i="10"/>
  <c r="G25" i="10"/>
  <c r="G27" i="10"/>
  <c r="G28" i="10"/>
  <c r="G32" i="10"/>
  <c r="G36" i="10"/>
  <c r="J28" i="10"/>
  <c r="J29" i="10"/>
  <c r="J33" i="10"/>
  <c r="J37" i="10"/>
  <c r="G37" i="8"/>
  <c r="T36" i="8"/>
  <c r="P36" i="8"/>
  <c r="G33" i="8"/>
  <c r="T32" i="8"/>
  <c r="P32" i="8"/>
  <c r="H25" i="8"/>
  <c r="H27" i="8"/>
  <c r="R39" i="10"/>
  <c r="J36" i="10"/>
  <c r="R35" i="10"/>
  <c r="J32" i="10"/>
  <c r="L28" i="10"/>
  <c r="G26" i="10"/>
  <c r="N28" i="10"/>
  <c r="N29" i="10"/>
  <c r="N33" i="10"/>
  <c r="N37" i="10"/>
  <c r="P25" i="8"/>
  <c r="P27" i="8"/>
  <c r="R28" i="10"/>
  <c r="R29" i="10"/>
  <c r="R33" i="10"/>
  <c r="R37" i="10"/>
  <c r="T39" i="8"/>
  <c r="P39" i="8"/>
  <c r="G36" i="8"/>
  <c r="T35" i="8"/>
  <c r="P35" i="8"/>
  <c r="G32" i="8"/>
  <c r="T31" i="8"/>
  <c r="P31" i="8"/>
  <c r="T28" i="8"/>
  <c r="O27" i="8"/>
  <c r="L26" i="8"/>
  <c r="T25" i="8"/>
  <c r="K25" i="8"/>
  <c r="K28" i="8"/>
  <c r="G25" i="8"/>
  <c r="F29" i="8"/>
  <c r="F39" i="10"/>
  <c r="R38" i="10"/>
  <c r="F35" i="10"/>
  <c r="R34" i="10"/>
  <c r="F31" i="10"/>
  <c r="R30" i="10"/>
  <c r="J27" i="10"/>
  <c r="F26" i="10"/>
  <c r="R25" i="10"/>
  <c r="P26" i="10"/>
  <c r="P27" i="10"/>
  <c r="P31" i="10"/>
  <c r="P35" i="10"/>
  <c r="P39" i="10"/>
  <c r="J25" i="10"/>
  <c r="H26" i="10"/>
  <c r="H27" i="10"/>
  <c r="H31" i="10"/>
  <c r="H35" i="10"/>
  <c r="H39" i="10"/>
  <c r="Q38" i="10"/>
  <c r="M38" i="10"/>
  <c r="I38" i="10"/>
  <c r="V38" i="10" s="1"/>
  <c r="S36" i="10"/>
  <c r="O36" i="10"/>
  <c r="K36" i="10"/>
  <c r="Q34" i="10"/>
  <c r="M34" i="10"/>
  <c r="I34" i="10"/>
  <c r="V34" i="10" s="1"/>
  <c r="S32" i="10"/>
  <c r="O32" i="10"/>
  <c r="K32" i="10"/>
  <c r="Q30" i="10"/>
  <c r="M30" i="10"/>
  <c r="V30" i="10" s="1"/>
  <c r="I30" i="10"/>
  <c r="S28" i="10"/>
  <c r="O28" i="10"/>
  <c r="K28" i="10"/>
  <c r="Q26" i="10"/>
  <c r="M26" i="10"/>
  <c r="I26" i="10"/>
  <c r="V26" i="8" l="1"/>
  <c r="V6" i="8" s="1"/>
  <c r="W6" i="8" s="1"/>
  <c r="V29" i="8"/>
  <c r="X29" i="8" s="1"/>
  <c r="V31" i="8"/>
  <c r="X31" i="8" s="1"/>
  <c r="V33" i="8"/>
  <c r="X33" i="8" s="1"/>
  <c r="V28" i="8"/>
  <c r="X28" i="8" s="1"/>
  <c r="V30" i="8"/>
  <c r="X30" i="8" s="1"/>
  <c r="V25" i="8"/>
  <c r="V5" i="8" s="1"/>
  <c r="W5" i="8" s="1"/>
  <c r="V36" i="8"/>
  <c r="V16" i="8" s="1"/>
  <c r="W16" i="8" s="1"/>
  <c r="V32" i="8"/>
  <c r="V12" i="8" s="1"/>
  <c r="W12" i="8" s="1"/>
  <c r="V39" i="8"/>
  <c r="V19" i="8" s="1"/>
  <c r="W19" i="8" s="1"/>
  <c r="V38" i="8"/>
  <c r="V18" i="8" s="1"/>
  <c r="W18" i="8" s="1"/>
  <c r="V35" i="8"/>
  <c r="X35" i="8" s="1"/>
  <c r="V37" i="8"/>
  <c r="V17" i="8" s="1"/>
  <c r="W17" i="8" s="1"/>
  <c r="V34" i="8"/>
  <c r="X34" i="8" s="1"/>
  <c r="V27" i="8"/>
  <c r="X27" i="8" s="1"/>
  <c r="X30" i="10"/>
  <c r="V10" i="10"/>
  <c r="V18" i="10"/>
  <c r="X38" i="10"/>
  <c r="V14" i="10"/>
  <c r="X34" i="10"/>
  <c r="V31" i="10"/>
  <c r="V39" i="10"/>
  <c r="X29" i="10"/>
  <c r="V26" i="10"/>
  <c r="V32" i="10"/>
  <c r="V37" i="10"/>
  <c r="V28" i="10"/>
  <c r="V36" i="10"/>
  <c r="V35" i="10"/>
  <c r="V27" i="10"/>
  <c r="V33" i="10"/>
  <c r="V25" i="10"/>
  <c r="X37" i="8" l="1"/>
  <c r="X26" i="8"/>
  <c r="X32" i="8"/>
  <c r="V9" i="8"/>
  <c r="W9" i="8" s="1"/>
  <c r="V11" i="8"/>
  <c r="W11" i="8" s="1"/>
  <c r="X38" i="8"/>
  <c r="V7" i="8"/>
  <c r="W7" i="8" s="1"/>
  <c r="V8" i="8"/>
  <c r="W8" i="8" s="1"/>
  <c r="X36" i="8"/>
  <c r="V13" i="8"/>
  <c r="W13" i="8" s="1"/>
  <c r="X25" i="8"/>
  <c r="V15" i="8"/>
  <c r="W15" i="8" s="1"/>
  <c r="V10" i="8"/>
  <c r="W10" i="8" s="1"/>
  <c r="V14" i="8"/>
  <c r="W14" i="8" s="1"/>
  <c r="X39" i="8"/>
  <c r="V5" i="10"/>
  <c r="X25" i="10"/>
  <c r="V13" i="10"/>
  <c r="X33" i="10"/>
  <c r="X35" i="10"/>
  <c r="V15" i="10"/>
  <c r="X28" i="10"/>
  <c r="V8" i="10"/>
  <c r="V6" i="10"/>
  <c r="X26" i="10"/>
  <c r="V7" i="10"/>
  <c r="X27" i="10"/>
  <c r="V17" i="10"/>
  <c r="X37" i="10"/>
  <c r="X39" i="10"/>
  <c r="V19" i="10"/>
  <c r="V16" i="10"/>
  <c r="X36" i="10"/>
  <c r="V12" i="10"/>
  <c r="X32" i="10"/>
  <c r="V11" i="10"/>
  <c r="X31" i="10"/>
  <c r="Y25" i="8" l="1"/>
  <c r="Z25" i="8" s="1"/>
  <c r="AA25" i="8" s="1"/>
  <c r="X6" i="8" s="1"/>
  <c r="Y25" i="10"/>
  <c r="Z25" i="10" s="1"/>
  <c r="AA25" i="10" s="1"/>
  <c r="X5" i="8" l="1"/>
  <c r="X5" i="10"/>
  <c r="X6" i="10"/>
</calcChain>
</file>

<file path=xl/sharedStrings.xml><?xml version="1.0" encoding="utf-8"?>
<sst xmlns="http://schemas.openxmlformats.org/spreadsheetml/2006/main" count="98" uniqueCount="64">
  <si>
    <t>CA</t>
  </si>
  <si>
    <t>Requirement 5</t>
  </si>
  <si>
    <t>Requirement 6</t>
  </si>
  <si>
    <t>Requirement 7</t>
  </si>
  <si>
    <t>Requirement 8</t>
  </si>
  <si>
    <t>Requirement 9</t>
  </si>
  <si>
    <t>Requirement 10</t>
  </si>
  <si>
    <t>AHP</t>
  </si>
  <si>
    <t>Column totals</t>
  </si>
  <si>
    <t>CI/RI</t>
  </si>
  <si>
    <t>Cw (Normalised)</t>
  </si>
  <si>
    <t>Requirement 11</t>
  </si>
  <si>
    <t>Requirement 12</t>
  </si>
  <si>
    <t>Requirement 13</t>
  </si>
  <si>
    <t>Requirement 14</t>
  </si>
  <si>
    <t>Requirement 15</t>
  </si>
  <si>
    <t>Equal Importance</t>
  </si>
  <si>
    <t>Strongly more important</t>
  </si>
  <si>
    <t>Strongly less important</t>
  </si>
  <si>
    <t>Moderately more important</t>
  </si>
  <si>
    <t>Moderately less important</t>
  </si>
  <si>
    <t>Very strongly more important</t>
  </si>
  <si>
    <t>Extremely more important</t>
  </si>
  <si>
    <t>Extremely less important</t>
  </si>
  <si>
    <t>Very strongly less important</t>
  </si>
  <si>
    <t>Fundamental Scale (Row v Column)</t>
  </si>
  <si>
    <t>Randomness Index,RI</t>
  </si>
  <si>
    <t>Pairwise Comparison Matrix</t>
  </si>
  <si>
    <t>Consistency check</t>
  </si>
  <si>
    <t>Criteria</t>
  </si>
  <si>
    <t>CI</t>
  </si>
  <si>
    <t>Lambda</t>
  </si>
  <si>
    <t>Analytic Hierarchy Template: n=</t>
  </si>
  <si>
    <t>Weight</t>
  </si>
  <si>
    <t>Appearance</t>
  </si>
  <si>
    <t>Robustness</t>
  </si>
  <si>
    <t>SCB Associates Ltd</t>
  </si>
  <si>
    <t>www.scbuk.com</t>
  </si>
  <si>
    <t>Analytic Hierarchy Process, AHP</t>
  </si>
  <si>
    <t>3. Work through the matrix comparing each of the criteria to each other (pairwise comparisons)</t>
  </si>
  <si>
    <t>Equal</t>
  </si>
  <si>
    <r>
      <t xml:space="preserve">Increasing </t>
    </r>
    <r>
      <rPr>
        <i/>
        <sz val="11"/>
        <color indexed="8"/>
        <rFont val="Calibri"/>
        <family val="2"/>
      </rPr>
      <t>column</t>
    </r>
    <r>
      <rPr>
        <sz val="11"/>
        <color theme="1"/>
        <rFont val="Calibri"/>
        <family val="2"/>
        <scheme val="minor"/>
      </rPr>
      <t xml:space="preserve"> importance over</t>
    </r>
    <r>
      <rPr>
        <i/>
        <sz val="11"/>
        <color indexed="8"/>
        <rFont val="Calibri"/>
        <family val="2"/>
      </rPr>
      <t xml:space="preserve"> row</t>
    </r>
  </si>
  <si>
    <r>
      <t xml:space="preserve">Increasing </t>
    </r>
    <r>
      <rPr>
        <i/>
        <sz val="11"/>
        <color indexed="8"/>
        <rFont val="Calibri"/>
        <family val="2"/>
      </rPr>
      <t xml:space="preserve">row </t>
    </r>
    <r>
      <rPr>
        <sz val="11"/>
        <color theme="1"/>
        <rFont val="Calibri"/>
        <family val="2"/>
        <scheme val="minor"/>
      </rPr>
      <t>importance over</t>
    </r>
    <r>
      <rPr>
        <i/>
        <sz val="11"/>
        <color indexed="8"/>
        <rFont val="Calibri"/>
        <family val="2"/>
      </rPr>
      <t xml:space="preserve"> column</t>
    </r>
  </si>
  <si>
    <t>4. For each comparison, decide which is the more important and select the appropriate weighting:</t>
  </si>
  <si>
    <t>Note: You only need to complete half the matrix, the second half (reciprocal) of the matrix is automatically completed</t>
  </si>
  <si>
    <t xml:space="preserve">5. Once completed the the AHP column contains the priorities for the given criteria </t>
  </si>
  <si>
    <t>6. Check the consistency index which should be 10% or less</t>
  </si>
  <si>
    <t>7. Please send us your comments, suggestions or problems - we appreciate your feedback</t>
  </si>
  <si>
    <t>Email: mail@scbuk.com</t>
  </si>
  <si>
    <t>Simon Barnard</t>
  </si>
  <si>
    <t>Comfort</t>
  </si>
  <si>
    <t>AHP-1</t>
  </si>
  <si>
    <t>Priorities for purchasing a new touring bike</t>
  </si>
  <si>
    <t>1. On the "AHP Template" worksheet, select the number of criteria that you would like to rank (3 to 15)</t>
  </si>
  <si>
    <t>2. Enter the names of the criteria/requirements and a title for the analysis</t>
  </si>
  <si>
    <t>Simplified to remove iterative calculations 11/11/2016</t>
  </si>
  <si>
    <t>Backlevel</t>
  </si>
  <si>
    <t>Contigência</t>
  </si>
  <si>
    <t>Urgência</t>
  </si>
  <si>
    <t>Motivo</t>
  </si>
  <si>
    <t>Interdependencia</t>
  </si>
  <si>
    <t>Relacionamento</t>
  </si>
  <si>
    <t>Duraçao</t>
  </si>
  <si>
    <t>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</si>
</sst>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13" x14ac:knownFonts="1">
    <font>
      <sz val="11"/>
      <color theme="1"/>
      <name val="Calibri"/>
      <family val="2"/>
      <scheme val="minor"/>
    </font>
    <font>
      <u/>
      <sz val="12"/>
      <name val="Calibri"/>
      <family val="2"/>
    </font>
    <font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25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6" fillId="0" borderId="1" xfId="0" applyFont="1" applyBorder="1" applyAlignment="1">
      <alignment horizontal="center"/>
    </xf>
    <xf numFmtId="0" fontId="5" fillId="0" borderId="5" xfId="0" applyFont="1" applyBorder="1"/>
    <xf numFmtId="12" fontId="5" fillId="0" borderId="6" xfId="0" applyNumberFormat="1" applyFont="1" applyFill="1" applyBorder="1" applyAlignment="1">
      <alignment horizontal="left"/>
    </xf>
    <xf numFmtId="12" fontId="8" fillId="3" borderId="7" xfId="0" applyNumberFormat="1" applyFont="1" applyFill="1" applyBorder="1" applyAlignment="1">
      <alignment horizontal="center"/>
    </xf>
    <xf numFmtId="165" fontId="5" fillId="4" borderId="8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5" fillId="0" borderId="9" xfId="0" applyFont="1" applyBorder="1"/>
    <xf numFmtId="12" fontId="5" fillId="0" borderId="10" xfId="0" applyNumberFormat="1" applyFont="1" applyFill="1" applyBorder="1" applyAlignment="1">
      <alignment horizontal="left"/>
    </xf>
    <xf numFmtId="12" fontId="8" fillId="3" borderId="11" xfId="0" applyNumberFormat="1" applyFont="1" applyFill="1" applyBorder="1" applyAlignment="1">
      <alignment horizontal="center"/>
    </xf>
    <xf numFmtId="12" fontId="8" fillId="3" borderId="12" xfId="0" applyNumberFormat="1" applyFont="1" applyFill="1" applyBorder="1" applyAlignment="1">
      <alignment horizontal="center"/>
    </xf>
    <xf numFmtId="0" fontId="6" fillId="0" borderId="9" xfId="0" applyFont="1" applyBorder="1"/>
    <xf numFmtId="12" fontId="6" fillId="0" borderId="10" xfId="0" applyNumberFormat="1" applyFont="1" applyFill="1" applyBorder="1" applyAlignment="1">
      <alignment horizontal="left"/>
    </xf>
    <xf numFmtId="12" fontId="8" fillId="3" borderId="13" xfId="0" applyNumberFormat="1" applyFont="1" applyFill="1" applyBorder="1" applyAlignment="1">
      <alignment horizontal="center"/>
    </xf>
    <xf numFmtId="12" fontId="8" fillId="3" borderId="14" xfId="0" applyNumberFormat="1" applyFont="1" applyFill="1" applyBorder="1" applyAlignment="1">
      <alignment horizontal="center"/>
    </xf>
    <xf numFmtId="12" fontId="8" fillId="3" borderId="15" xfId="0" applyNumberFormat="1" applyFont="1" applyFill="1" applyBorder="1" applyAlignment="1">
      <alignment horizontal="center"/>
    </xf>
    <xf numFmtId="0" fontId="5" fillId="0" borderId="16" xfId="0" applyFont="1" applyBorder="1"/>
    <xf numFmtId="0" fontId="5" fillId="0" borderId="15" xfId="0" applyFont="1" applyFill="1" applyBorder="1" applyAlignment="1">
      <alignment horizontal="left"/>
    </xf>
    <xf numFmtId="0" fontId="5" fillId="2" borderId="17" xfId="0" applyFont="1" applyFill="1" applyBorder="1"/>
    <xf numFmtId="164" fontId="5" fillId="2" borderId="18" xfId="0" applyNumberFormat="1" applyFont="1" applyFill="1" applyBorder="1"/>
    <xf numFmtId="0" fontId="5" fillId="2" borderId="12" xfId="0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2" borderId="19" xfId="0" applyFont="1" applyFill="1" applyBorder="1"/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0" xfId="0" applyFont="1" applyFill="1" applyBorder="1"/>
    <xf numFmtId="0" fontId="5" fillId="2" borderId="23" xfId="0" applyFont="1" applyFill="1" applyBorder="1"/>
    <xf numFmtId="0" fontId="5" fillId="2" borderId="0" xfId="0" applyFont="1" applyFill="1" applyAlignment="1">
      <alignment horizontal="right"/>
    </xf>
    <xf numFmtId="0" fontId="5" fillId="2" borderId="24" xfId="0" applyFont="1" applyFill="1" applyBorder="1"/>
    <xf numFmtId="0" fontId="5" fillId="2" borderId="25" xfId="0" applyFont="1" applyFill="1" applyBorder="1"/>
    <xf numFmtId="0" fontId="5" fillId="2" borderId="7" xfId="0" applyFont="1" applyFill="1" applyBorder="1"/>
    <xf numFmtId="0" fontId="5" fillId="5" borderId="8" xfId="0" applyFont="1" applyFill="1" applyBorder="1" applyProtection="1">
      <protection locked="0"/>
    </xf>
    <xf numFmtId="0" fontId="5" fillId="5" borderId="26" xfId="0" applyFont="1" applyFill="1" applyBorder="1" applyProtection="1">
      <protection locked="0"/>
    </xf>
    <xf numFmtId="0" fontId="5" fillId="5" borderId="27" xfId="0" applyFont="1" applyFill="1" applyBorder="1" applyProtection="1">
      <protection locked="0"/>
    </xf>
    <xf numFmtId="12" fontId="5" fillId="5" borderId="28" xfId="0" applyNumberFormat="1" applyFont="1" applyFill="1" applyBorder="1" applyAlignment="1" applyProtection="1">
      <alignment horizontal="center"/>
      <protection locked="0"/>
    </xf>
    <xf numFmtId="12" fontId="5" fillId="5" borderId="6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1" fillId="2" borderId="0" xfId="1" applyFont="1" applyFill="1" applyAlignment="1" applyProtection="1">
      <alignment horizontal="center"/>
    </xf>
    <xf numFmtId="0" fontId="9" fillId="6" borderId="29" xfId="0" applyFont="1" applyFill="1" applyBorder="1"/>
    <xf numFmtId="0" fontId="9" fillId="5" borderId="1" xfId="0" applyFont="1" applyFill="1" applyBorder="1" applyAlignment="1" applyProtection="1">
      <alignment horizontal="center"/>
      <protection locked="0"/>
    </xf>
    <xf numFmtId="0" fontId="9" fillId="6" borderId="30" xfId="0" applyFont="1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10" fillId="2" borderId="0" xfId="0" applyFont="1" applyFill="1" applyBorder="1"/>
    <xf numFmtId="0" fontId="11" fillId="2" borderId="0" xfId="0" applyFon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12" fontId="11" fillId="2" borderId="0" xfId="0" applyNumberFormat="1" applyFont="1" applyFill="1" applyBorder="1" applyAlignment="1">
      <alignment horizontal="center"/>
    </xf>
    <xf numFmtId="16" fontId="0" fillId="2" borderId="0" xfId="0" applyNumberFormat="1" applyFill="1" applyBorder="1"/>
    <xf numFmtId="12" fontId="0" fillId="2" borderId="0" xfId="0" applyNumberFormat="1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2" fontId="0" fillId="0" borderId="0" xfId="0" applyNumberFormat="1"/>
    <xf numFmtId="164" fontId="5" fillId="2" borderId="0" xfId="0" applyNumberFormat="1" applyFont="1" applyFill="1" applyBorder="1"/>
    <xf numFmtId="165" fontId="5" fillId="2" borderId="12" xfId="0" applyNumberFormat="1" applyFont="1" applyFill="1" applyBorder="1" applyAlignment="1">
      <alignment horizontal="center"/>
    </xf>
    <xf numFmtId="164" fontId="5" fillId="2" borderId="11" xfId="0" applyNumberFormat="1" applyFont="1" applyFill="1" applyBorder="1"/>
    <xf numFmtId="165" fontId="5" fillId="4" borderId="9" xfId="0" applyNumberFormat="1" applyFont="1" applyFill="1" applyBorder="1" applyAlignment="1">
      <alignment horizontal="center"/>
    </xf>
    <xf numFmtId="166" fontId="5" fillId="4" borderId="10" xfId="0" applyNumberFormat="1" applyFont="1" applyFill="1" applyBorder="1" applyAlignment="1">
      <alignment horizontal="center"/>
    </xf>
    <xf numFmtId="166" fontId="5" fillId="4" borderId="15" xfId="0" applyNumberFormat="1" applyFont="1" applyFill="1" applyBorder="1" applyAlignment="1">
      <alignment horizontal="center"/>
    </xf>
    <xf numFmtId="0" fontId="12" fillId="2" borderId="0" xfId="0" applyFont="1" applyFill="1" applyBorder="1"/>
    <xf numFmtId="14" fontId="0" fillId="2" borderId="0" xfId="0" applyNumberFormat="1" applyFill="1" applyBorder="1" applyAlignment="1">
      <alignment horizontal="left"/>
    </xf>
    <xf numFmtId="0" fontId="6" fillId="0" borderId="29" xfId="0" applyFont="1" applyBorder="1"/>
    <xf numFmtId="0" fontId="6" fillId="0" borderId="30" xfId="0" applyFont="1" applyBorder="1"/>
    <xf numFmtId="0" fontId="5" fillId="5" borderId="29" xfId="0" applyFont="1" applyFill="1" applyBorder="1" applyAlignment="1" applyProtection="1">
      <alignment horizontal="center"/>
      <protection locked="0"/>
    </xf>
    <xf numFmtId="0" fontId="5" fillId="5" borderId="39" xfId="0" applyFont="1" applyFill="1" applyBorder="1" applyAlignment="1" applyProtection="1">
      <alignment horizontal="center"/>
      <protection locked="0"/>
    </xf>
    <xf numFmtId="0" fontId="5" fillId="5" borderId="30" xfId="0" applyFont="1" applyFill="1" applyBorder="1" applyAlignment="1" applyProtection="1">
      <alignment horizontal="center"/>
      <protection locked="0"/>
    </xf>
    <xf numFmtId="0" fontId="6" fillId="0" borderId="3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9" fontId="5" fillId="4" borderId="37" xfId="2" applyFont="1" applyFill="1" applyBorder="1" applyAlignment="1">
      <alignment horizontal="center"/>
    </xf>
    <xf numFmtId="9" fontId="5" fillId="4" borderId="38" xfId="2" applyFont="1" applyFill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9" fontId="5" fillId="4" borderId="36" xfId="2" applyFont="1" applyFill="1" applyBorder="1" applyAlignment="1">
      <alignment horizontal="center"/>
    </xf>
  </cellXfs>
  <cellStyles count="3">
    <cellStyle name="Hiperlink" xfId="1" builtinId="8"/>
    <cellStyle name="Normal" xfId="0" builtinId="0"/>
    <cellStyle name="Porcentagem" xfId="2" builtinId="5"/>
  </cellStyles>
  <dxfs count="36"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9</xdr:row>
      <xdr:rowOff>38099</xdr:rowOff>
    </xdr:from>
    <xdr:to>
      <xdr:col>18</xdr:col>
      <xdr:colOff>304801</xdr:colOff>
      <xdr:row>9</xdr:row>
      <xdr:rowOff>161924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57651" y="1943099"/>
          <a:ext cx="276225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2</xdr:col>
      <xdr:colOff>38099</xdr:colOff>
      <xdr:row>9</xdr:row>
      <xdr:rowOff>38100</xdr:rowOff>
    </xdr:from>
    <xdr:to>
      <xdr:col>9</xdr:col>
      <xdr:colOff>257174</xdr:colOff>
      <xdr:row>9</xdr:row>
      <xdr:rowOff>152400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1266824" y="1943100"/>
          <a:ext cx="23622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 editAs="oneCell">
    <xdr:from>
      <xdr:col>16</xdr:col>
      <xdr:colOff>314325</xdr:colOff>
      <xdr:row>18</xdr:row>
      <xdr:rowOff>19050</xdr:rowOff>
    </xdr:from>
    <xdr:to>
      <xdr:col>19</xdr:col>
      <xdr:colOff>95250</xdr:colOff>
      <xdr:row>22</xdr:row>
      <xdr:rowOff>19050</xdr:rowOff>
    </xdr:to>
    <xdr:pic>
      <xdr:nvPicPr>
        <xdr:cNvPr id="1027" name="Picture 3" descr="SCB Associates logo.emf">
          <a:extLst>
            <a:ext uri="{FF2B5EF4-FFF2-40B4-BE49-F238E27FC236}">
              <a16:creationId xmlns:a16="http://schemas.microsoft.com/office/drawing/2014/main" id="{7922C803-20CC-4FD1-BC81-A227AA055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448050"/>
          <a:ext cx="838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28</xdr:row>
      <xdr:rowOff>190500</xdr:rowOff>
    </xdr:from>
    <xdr:to>
      <xdr:col>1</xdr:col>
      <xdr:colOff>1914525</xdr:colOff>
      <xdr:row>37</xdr:row>
      <xdr:rowOff>152400</xdr:rowOff>
    </xdr:to>
    <xdr:pic>
      <xdr:nvPicPr>
        <xdr:cNvPr id="2049" name="Picture 1" descr="SCB Associates logo.emf">
          <a:extLst>
            <a:ext uri="{FF2B5EF4-FFF2-40B4-BE49-F238E27FC236}">
              <a16:creationId xmlns:a16="http://schemas.microsoft.com/office/drawing/2014/main" id="{2A9B288A-2E27-423D-8855-6A89C9AF9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5895975"/>
          <a:ext cx="185737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28</xdr:row>
      <xdr:rowOff>190500</xdr:rowOff>
    </xdr:from>
    <xdr:to>
      <xdr:col>1</xdr:col>
      <xdr:colOff>1914525</xdr:colOff>
      <xdr:row>37</xdr:row>
      <xdr:rowOff>152400</xdr:rowOff>
    </xdr:to>
    <xdr:pic>
      <xdr:nvPicPr>
        <xdr:cNvPr id="3073" name="Picture 1" descr="SCB Associates logo.emf">
          <a:extLst>
            <a:ext uri="{FF2B5EF4-FFF2-40B4-BE49-F238E27FC236}">
              <a16:creationId xmlns:a16="http://schemas.microsoft.com/office/drawing/2014/main" id="{6DF4E958-57C4-4D44-87BD-2C8FD5605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5895975"/>
          <a:ext cx="185737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buk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bu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26"/>
  <sheetViews>
    <sheetView workbookViewId="0">
      <selection activeCell="O22" sqref="O22"/>
    </sheetView>
  </sheetViews>
  <sheetFormatPr defaultRowHeight="14.4" x14ac:dyDescent="0.3"/>
  <cols>
    <col min="2" max="2" width="12.88671875" customWidth="1"/>
    <col min="3" max="3" width="6.6640625" customWidth="1"/>
    <col min="4" max="5" width="6" customWidth="1"/>
    <col min="6" max="6" width="5" customWidth="1"/>
    <col min="7" max="10" width="4.33203125" bestFit="1" customWidth="1"/>
    <col min="11" max="11" width="5.88671875" customWidth="1"/>
    <col min="12" max="19" width="5.21875" bestFit="1" customWidth="1"/>
  </cols>
  <sheetData>
    <row r="1" spans="1:22" x14ac:dyDescent="0.3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/>
    </row>
    <row r="2" spans="1:22" x14ac:dyDescent="0.3">
      <c r="A2" s="5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6"/>
    </row>
    <row r="3" spans="1:22" x14ac:dyDescent="0.3">
      <c r="A3" s="55"/>
      <c r="B3" s="3"/>
      <c r="C3" s="57" t="s">
        <v>38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6"/>
    </row>
    <row r="4" spans="1:22" x14ac:dyDescent="0.3">
      <c r="A4" s="55"/>
      <c r="B4" s="3"/>
      <c r="C4" s="3" t="s">
        <v>53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56"/>
    </row>
    <row r="5" spans="1:22" x14ac:dyDescent="0.3">
      <c r="A5" s="55"/>
      <c r="B5" s="3"/>
      <c r="C5" s="3" t="s">
        <v>54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6"/>
    </row>
    <row r="6" spans="1:22" x14ac:dyDescent="0.3">
      <c r="A6" s="55"/>
      <c r="B6" s="3"/>
      <c r="C6" s="3" t="s">
        <v>39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6"/>
    </row>
    <row r="7" spans="1:22" x14ac:dyDescent="0.3">
      <c r="A7" s="55"/>
      <c r="B7" s="3"/>
      <c r="C7" s="3" t="s">
        <v>43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56"/>
    </row>
    <row r="8" spans="1:22" x14ac:dyDescent="0.3">
      <c r="A8" s="5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6"/>
    </row>
    <row r="9" spans="1:22" x14ac:dyDescent="0.3">
      <c r="A9" s="55"/>
      <c r="B9" s="3"/>
      <c r="C9" s="3" t="s">
        <v>41</v>
      </c>
      <c r="D9" s="3"/>
      <c r="E9" s="3"/>
      <c r="F9" s="3"/>
      <c r="G9" s="3"/>
      <c r="H9" s="3"/>
      <c r="I9" s="3"/>
      <c r="J9" s="3"/>
      <c r="K9" s="3"/>
      <c r="L9" s="3"/>
      <c r="M9" s="3" t="s">
        <v>42</v>
      </c>
      <c r="N9" s="3"/>
      <c r="O9" s="3"/>
      <c r="P9" s="3"/>
      <c r="Q9" s="3"/>
      <c r="R9" s="3"/>
      <c r="S9" s="3"/>
      <c r="T9" s="3"/>
      <c r="U9" s="3"/>
      <c r="V9" s="56"/>
    </row>
    <row r="10" spans="1:22" x14ac:dyDescent="0.3">
      <c r="A10" s="55"/>
      <c r="B10" s="3"/>
      <c r="C10" s="3"/>
      <c r="D10" s="3"/>
      <c r="E10" s="3"/>
      <c r="F10" s="3"/>
      <c r="G10" s="3"/>
      <c r="H10" s="3"/>
      <c r="I10" s="3"/>
      <c r="J10" s="3"/>
      <c r="K10" s="58" t="s">
        <v>40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56"/>
    </row>
    <row r="11" spans="1:22" x14ac:dyDescent="0.3">
      <c r="A11" s="55"/>
      <c r="B11" s="3"/>
      <c r="C11" s="59">
        <v>0.1111111111111111</v>
      </c>
      <c r="D11" s="59">
        <v>0.125</v>
      </c>
      <c r="E11" s="59">
        <v>0.14285714285714285</v>
      </c>
      <c r="F11" s="59">
        <v>0.16666666666666666</v>
      </c>
      <c r="G11" s="59">
        <v>0.2</v>
      </c>
      <c r="H11" s="59">
        <v>0.25</v>
      </c>
      <c r="I11" s="59">
        <v>0.33333333333333331</v>
      </c>
      <c r="J11" s="59">
        <v>0.5</v>
      </c>
      <c r="K11" s="60">
        <v>1</v>
      </c>
      <c r="L11" s="59">
        <v>2</v>
      </c>
      <c r="M11" s="59">
        <v>3</v>
      </c>
      <c r="N11" s="59">
        <v>4</v>
      </c>
      <c r="O11" s="59">
        <v>5</v>
      </c>
      <c r="P11" s="59">
        <v>6</v>
      </c>
      <c r="Q11" s="59">
        <v>7</v>
      </c>
      <c r="R11" s="59">
        <v>8</v>
      </c>
      <c r="S11" s="59">
        <v>9</v>
      </c>
      <c r="T11" s="3"/>
      <c r="U11" s="3"/>
      <c r="V11" s="56"/>
    </row>
    <row r="12" spans="1:22" x14ac:dyDescent="0.3">
      <c r="A12" s="55"/>
      <c r="B12" s="3"/>
      <c r="C12" s="6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56"/>
    </row>
    <row r="13" spans="1:22" x14ac:dyDescent="0.3">
      <c r="A13" s="55"/>
      <c r="B13" s="3"/>
      <c r="C13" s="3" t="s">
        <v>44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56"/>
    </row>
    <row r="14" spans="1:22" x14ac:dyDescent="0.3">
      <c r="A14" s="5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56"/>
    </row>
    <row r="15" spans="1:22" x14ac:dyDescent="0.3">
      <c r="A15" s="55"/>
      <c r="B15" s="3"/>
      <c r="C15" s="3" t="s">
        <v>45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56"/>
    </row>
    <row r="16" spans="1:22" x14ac:dyDescent="0.3">
      <c r="A16" s="55"/>
      <c r="B16" s="3"/>
      <c r="C16" s="3" t="s">
        <v>46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56"/>
    </row>
    <row r="17" spans="1:22" x14ac:dyDescent="0.3">
      <c r="A17" s="55"/>
      <c r="B17" s="3"/>
      <c r="C17" s="3" t="s">
        <v>47</v>
      </c>
      <c r="D17" s="3"/>
      <c r="E17" s="3"/>
      <c r="F17" s="6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56"/>
    </row>
    <row r="18" spans="1:22" x14ac:dyDescent="0.3">
      <c r="A18" s="55"/>
      <c r="B18" s="3"/>
      <c r="C18" s="3" t="s">
        <v>48</v>
      </c>
      <c r="D18" s="3"/>
      <c r="E18" s="3"/>
      <c r="F18" s="6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56"/>
    </row>
    <row r="19" spans="1:22" x14ac:dyDescent="0.3">
      <c r="A19" s="55"/>
      <c r="B19" s="3"/>
      <c r="C19" s="3"/>
      <c r="D19" s="3"/>
      <c r="E19" s="3"/>
      <c r="F19" s="6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56"/>
    </row>
    <row r="20" spans="1:22" x14ac:dyDescent="0.3">
      <c r="A20" s="55"/>
      <c r="B20" s="3"/>
      <c r="C20" s="3"/>
      <c r="D20" s="3"/>
      <c r="E20" s="3"/>
      <c r="F20" s="6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56"/>
    </row>
    <row r="21" spans="1:22" x14ac:dyDescent="0.3">
      <c r="A21" s="55"/>
      <c r="B21" s="2"/>
      <c r="C21" s="3" t="s">
        <v>49</v>
      </c>
      <c r="D21" s="3"/>
      <c r="E21" s="3"/>
      <c r="F21" s="6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56"/>
    </row>
    <row r="22" spans="1:22" x14ac:dyDescent="0.3">
      <c r="A22" s="55"/>
      <c r="B22" s="3"/>
      <c r="C22" s="3" t="s">
        <v>36</v>
      </c>
      <c r="D22" s="3"/>
      <c r="E22" s="3"/>
      <c r="F22" s="6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56"/>
    </row>
    <row r="23" spans="1:22" x14ac:dyDescent="0.3">
      <c r="A23" s="55"/>
      <c r="B23" s="3"/>
      <c r="C23" s="74">
        <v>41178</v>
      </c>
      <c r="D23" s="7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56"/>
    </row>
    <row r="24" spans="1:22" x14ac:dyDescent="0.3">
      <c r="A24" s="55"/>
      <c r="B24" s="3"/>
      <c r="C24" s="73" t="s">
        <v>55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56"/>
    </row>
    <row r="25" spans="1:22" x14ac:dyDescent="0.3">
      <c r="A25" s="5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56"/>
    </row>
    <row r="26" spans="1:22" ht="15" thickBot="1" x14ac:dyDescent="0.3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5"/>
    </row>
  </sheetData>
  <sheetProtection password="FA7B" sheet="1" objects="1" scenarios="1" selectLockedCells="1"/>
  <mergeCells count="1">
    <mergeCell ref="C23:D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1"/>
  <sheetViews>
    <sheetView zoomScaleNormal="100" workbookViewId="0">
      <selection activeCell="C2" sqref="C2"/>
    </sheetView>
  </sheetViews>
  <sheetFormatPr defaultRowHeight="14.4" x14ac:dyDescent="0.3"/>
  <cols>
    <col min="2" max="2" width="36.21875" customWidth="1"/>
    <col min="3" max="3" width="7.109375" customWidth="1"/>
    <col min="5" max="5" width="29" bestFit="1" customWidth="1"/>
    <col min="6" max="6" width="17.21875" bestFit="1" customWidth="1"/>
    <col min="7" max="14" width="15.77734375" bestFit="1" customWidth="1"/>
    <col min="15" max="20" width="17" bestFit="1" customWidth="1"/>
    <col min="21" max="22" width="12.88671875" customWidth="1"/>
    <col min="23" max="23" width="9.33203125" bestFit="1" customWidth="1"/>
    <col min="24" max="24" width="9.33203125" style="1" bestFit="1" customWidth="1"/>
    <col min="25" max="25" width="21.5546875" customWidth="1"/>
    <col min="26" max="26" width="11.6640625" customWidth="1"/>
    <col min="27" max="27" width="18.109375" bestFit="1" customWidth="1"/>
    <col min="29" max="29" width="9.109375" style="66"/>
  </cols>
  <sheetData>
    <row r="1" spans="1:27" ht="16.2" thickBo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.600000000000001" thickBot="1" x14ac:dyDescent="0.4">
      <c r="A2" s="4"/>
      <c r="B2" s="49" t="s">
        <v>32</v>
      </c>
      <c r="C2" s="50">
        <v>7</v>
      </c>
      <c r="D2" s="51" t="s">
        <v>29</v>
      </c>
      <c r="E2" s="4"/>
      <c r="F2" s="77" t="s">
        <v>63</v>
      </c>
      <c r="G2" s="78"/>
      <c r="H2" s="78"/>
      <c r="I2" s="78"/>
      <c r="J2" s="78"/>
      <c r="K2" s="7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4"/>
      <c r="Z2" s="4"/>
      <c r="AA2" s="4"/>
    </row>
    <row r="3" spans="1:27" ht="16.2" thickBot="1" x14ac:dyDescent="0.35">
      <c r="A3" s="4"/>
      <c r="B3" s="4"/>
      <c r="C3" s="4"/>
      <c r="D3" s="4"/>
      <c r="E3" s="6" t="s">
        <v>27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  <c r="AA3" s="4"/>
    </row>
    <row r="4" spans="1:27" ht="16.2" thickBot="1" x14ac:dyDescent="0.35">
      <c r="A4" s="4"/>
      <c r="B4" s="75" t="s">
        <v>25</v>
      </c>
      <c r="C4" s="76"/>
      <c r="D4" s="4"/>
      <c r="E4" s="7"/>
      <c r="F4" s="8" t="str">
        <f>E5</f>
        <v>Backlevel</v>
      </c>
      <c r="G4" s="9" t="str">
        <f>E6</f>
        <v>Contigência</v>
      </c>
      <c r="H4" s="9" t="str">
        <f>E7</f>
        <v>Urgência</v>
      </c>
      <c r="I4" s="9" t="str">
        <f>E8</f>
        <v>Motivo</v>
      </c>
      <c r="J4" s="9" t="str">
        <f>E9</f>
        <v>Interdependencia</v>
      </c>
      <c r="K4" s="9" t="str">
        <f>E10</f>
        <v>Relacionamento</v>
      </c>
      <c r="L4" s="9" t="str">
        <f>E11</f>
        <v>Duraçao</v>
      </c>
      <c r="M4" s="9" t="str">
        <f>E12</f>
        <v>Requirement 8</v>
      </c>
      <c r="N4" s="9" t="str">
        <f>E13</f>
        <v>Requirement 9</v>
      </c>
      <c r="O4" s="9" t="str">
        <f>E14</f>
        <v>Requirement 10</v>
      </c>
      <c r="P4" s="9" t="str">
        <f>E15</f>
        <v>Requirement 11</v>
      </c>
      <c r="Q4" s="9" t="str">
        <f>E16</f>
        <v>Requirement 12</v>
      </c>
      <c r="R4" s="9" t="str">
        <f>E17</f>
        <v>Requirement 13</v>
      </c>
      <c r="S4" s="9" t="str">
        <f>E18</f>
        <v>Requirement 14</v>
      </c>
      <c r="T4" s="10" t="str">
        <f>E19</f>
        <v>Requirement 15</v>
      </c>
      <c r="U4" s="4"/>
      <c r="V4" s="86" t="s">
        <v>7</v>
      </c>
      <c r="W4" s="87"/>
      <c r="X4" s="80" t="s">
        <v>28</v>
      </c>
      <c r="Y4" s="81"/>
      <c r="Z4" s="4"/>
      <c r="AA4" s="4"/>
    </row>
    <row r="5" spans="1:27" ht="15.6" x14ac:dyDescent="0.3">
      <c r="A5" s="4"/>
      <c r="B5" s="12" t="s">
        <v>23</v>
      </c>
      <c r="C5" s="13">
        <f>1/9</f>
        <v>0.1111111111111111</v>
      </c>
      <c r="D5" s="4"/>
      <c r="E5" s="42" t="s">
        <v>56</v>
      </c>
      <c r="F5" s="14">
        <v>1</v>
      </c>
      <c r="G5" s="45">
        <v>3</v>
      </c>
      <c r="H5" s="45">
        <v>0.33333333333333331</v>
      </c>
      <c r="I5" s="45">
        <v>5</v>
      </c>
      <c r="J5" s="45">
        <v>0.2</v>
      </c>
      <c r="K5" s="45">
        <v>0.33333333333333331</v>
      </c>
      <c r="L5" s="45">
        <v>0.1111111111111111</v>
      </c>
      <c r="M5" s="45">
        <v>1</v>
      </c>
      <c r="N5" s="45">
        <v>1</v>
      </c>
      <c r="O5" s="45">
        <v>1</v>
      </c>
      <c r="P5" s="45">
        <v>1</v>
      </c>
      <c r="Q5" s="45">
        <v>1</v>
      </c>
      <c r="R5" s="45">
        <v>1</v>
      </c>
      <c r="S5" s="45">
        <v>1</v>
      </c>
      <c r="T5" s="46">
        <v>1</v>
      </c>
      <c r="U5" s="4">
        <v>1</v>
      </c>
      <c r="V5" s="70">
        <f>V25</f>
        <v>6.6851095390221396E-2</v>
      </c>
      <c r="W5" s="71">
        <f>V5</f>
        <v>6.6851095390221396E-2</v>
      </c>
      <c r="X5" s="82" t="str">
        <f>IF(AA25&lt;0.1,"Consistency OK","Check your results")</f>
        <v>Check your results</v>
      </c>
      <c r="Y5" s="83"/>
      <c r="Z5" s="4"/>
      <c r="AA5" s="4"/>
    </row>
    <row r="6" spans="1:27" ht="16.2" thickBot="1" x14ac:dyDescent="0.35">
      <c r="A6" s="4"/>
      <c r="B6" s="17"/>
      <c r="C6" s="18">
        <f>1/8</f>
        <v>0.125</v>
      </c>
      <c r="D6" s="4"/>
      <c r="E6" s="43" t="s">
        <v>57</v>
      </c>
      <c r="F6" s="19">
        <f>1/G5</f>
        <v>0.33333333333333331</v>
      </c>
      <c r="G6" s="20">
        <v>1</v>
      </c>
      <c r="H6" s="45">
        <v>0.33333333333333331</v>
      </c>
      <c r="I6" s="45">
        <v>3</v>
      </c>
      <c r="J6" s="45">
        <v>0.14285714285714285</v>
      </c>
      <c r="K6" s="45">
        <v>0.33333333333333331</v>
      </c>
      <c r="L6" s="45">
        <v>0.1111111111111111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  <c r="S6" s="45">
        <v>1</v>
      </c>
      <c r="T6" s="46">
        <v>1</v>
      </c>
      <c r="U6" s="4">
        <v>2</v>
      </c>
      <c r="V6" s="70">
        <f t="shared" ref="V6:V19" si="0">V26</f>
        <v>4.075362623448902E-2</v>
      </c>
      <c r="W6" s="71">
        <f t="shared" ref="W6:W19" si="1">V6</f>
        <v>4.075362623448902E-2</v>
      </c>
      <c r="X6" s="84">
        <f>AA25</f>
        <v>0.13738887017532372</v>
      </c>
      <c r="Y6" s="85"/>
      <c r="Z6" s="4"/>
      <c r="AA6" s="4"/>
    </row>
    <row r="7" spans="1:27" ht="15.6" x14ac:dyDescent="0.3">
      <c r="A7" s="4"/>
      <c r="B7" s="17" t="s">
        <v>24</v>
      </c>
      <c r="C7" s="18">
        <f>1/7</f>
        <v>0.14285714285714285</v>
      </c>
      <c r="D7" s="4"/>
      <c r="E7" s="43" t="s">
        <v>58</v>
      </c>
      <c r="F7" s="19">
        <f>1/H5</f>
        <v>3</v>
      </c>
      <c r="G7" s="20">
        <f>1/H6</f>
        <v>3</v>
      </c>
      <c r="H7" s="20">
        <v>1</v>
      </c>
      <c r="I7" s="45">
        <v>7</v>
      </c>
      <c r="J7" s="45">
        <v>0.33333333333333331</v>
      </c>
      <c r="K7" s="45">
        <v>3</v>
      </c>
      <c r="L7" s="45">
        <v>0.2</v>
      </c>
      <c r="M7" s="45">
        <v>1</v>
      </c>
      <c r="N7" s="45">
        <v>1</v>
      </c>
      <c r="O7" s="45">
        <v>1</v>
      </c>
      <c r="P7" s="45">
        <v>1</v>
      </c>
      <c r="Q7" s="45">
        <v>1</v>
      </c>
      <c r="R7" s="45">
        <v>1</v>
      </c>
      <c r="S7" s="45">
        <v>1</v>
      </c>
      <c r="T7" s="46">
        <v>1</v>
      </c>
      <c r="U7" s="4">
        <v>3</v>
      </c>
      <c r="V7" s="70">
        <f t="shared" si="0"/>
        <v>0.13110797050889292</v>
      </c>
      <c r="W7" s="71">
        <f t="shared" si="1"/>
        <v>0.13110797050889292</v>
      </c>
      <c r="X7" s="4"/>
      <c r="Y7" s="2"/>
      <c r="Z7" s="4"/>
      <c r="AA7" s="4"/>
    </row>
    <row r="8" spans="1:27" ht="15.6" x14ac:dyDescent="0.3">
      <c r="A8" s="4"/>
      <c r="B8" s="17"/>
      <c r="C8" s="18">
        <f>1/6</f>
        <v>0.16666666666666666</v>
      </c>
      <c r="D8" s="4"/>
      <c r="E8" s="43" t="s">
        <v>59</v>
      </c>
      <c r="F8" s="19">
        <f>1/I5</f>
        <v>0.2</v>
      </c>
      <c r="G8" s="20">
        <f>1/I6</f>
        <v>0.33333333333333331</v>
      </c>
      <c r="H8" s="20">
        <f>1/I7</f>
        <v>0.14285714285714285</v>
      </c>
      <c r="I8" s="20">
        <v>1</v>
      </c>
      <c r="J8" s="45">
        <v>0.2</v>
      </c>
      <c r="K8" s="45">
        <v>0.33333333333333331</v>
      </c>
      <c r="L8" s="45">
        <v>0.14285714285714285</v>
      </c>
      <c r="M8" s="45">
        <v>1</v>
      </c>
      <c r="N8" s="45">
        <v>1</v>
      </c>
      <c r="O8" s="45">
        <v>1</v>
      </c>
      <c r="P8" s="45">
        <v>1</v>
      </c>
      <c r="Q8" s="45">
        <v>1</v>
      </c>
      <c r="R8" s="45">
        <v>1</v>
      </c>
      <c r="S8" s="45">
        <v>1</v>
      </c>
      <c r="T8" s="46">
        <v>1</v>
      </c>
      <c r="U8" s="4">
        <v>4</v>
      </c>
      <c r="V8" s="70">
        <f t="shared" si="0"/>
        <v>2.8182948700896878E-2</v>
      </c>
      <c r="W8" s="71">
        <f t="shared" si="1"/>
        <v>2.8182948700896878E-2</v>
      </c>
      <c r="X8" s="4"/>
      <c r="Y8" s="2"/>
      <c r="Z8" s="4"/>
      <c r="AA8" s="4"/>
    </row>
    <row r="9" spans="1:27" ht="15.6" x14ac:dyDescent="0.3">
      <c r="A9" s="4"/>
      <c r="B9" s="17" t="s">
        <v>18</v>
      </c>
      <c r="C9" s="18">
        <f>1/5</f>
        <v>0.2</v>
      </c>
      <c r="D9" s="4"/>
      <c r="E9" s="43" t="s">
        <v>60</v>
      </c>
      <c r="F9" s="19">
        <f>1/J5</f>
        <v>5</v>
      </c>
      <c r="G9" s="20">
        <f>1/J6</f>
        <v>7</v>
      </c>
      <c r="H9" s="20">
        <f>1/J7</f>
        <v>3</v>
      </c>
      <c r="I9" s="20">
        <f>1/J8</f>
        <v>5</v>
      </c>
      <c r="J9" s="20">
        <v>1</v>
      </c>
      <c r="K9" s="45">
        <v>5</v>
      </c>
      <c r="L9" s="45">
        <v>0.33333333333333331</v>
      </c>
      <c r="M9" s="45">
        <v>1</v>
      </c>
      <c r="N9" s="45">
        <v>1</v>
      </c>
      <c r="O9" s="45">
        <v>1</v>
      </c>
      <c r="P9" s="45">
        <v>1</v>
      </c>
      <c r="Q9" s="45">
        <v>1</v>
      </c>
      <c r="R9" s="45">
        <v>1</v>
      </c>
      <c r="S9" s="45">
        <v>1</v>
      </c>
      <c r="T9" s="46">
        <v>1</v>
      </c>
      <c r="U9" s="4">
        <v>5</v>
      </c>
      <c r="V9" s="70">
        <f t="shared" si="0"/>
        <v>0.22992838766860868</v>
      </c>
      <c r="W9" s="71">
        <f t="shared" si="1"/>
        <v>0.22992838766860868</v>
      </c>
      <c r="X9" s="4"/>
      <c r="Y9" s="2"/>
      <c r="Z9" s="4"/>
      <c r="AA9" s="4"/>
    </row>
    <row r="10" spans="1:27" ht="15.6" x14ac:dyDescent="0.3">
      <c r="A10" s="4"/>
      <c r="B10" s="17"/>
      <c r="C10" s="18">
        <f>1/4</f>
        <v>0.25</v>
      </c>
      <c r="D10" s="4"/>
      <c r="E10" s="43" t="s">
        <v>61</v>
      </c>
      <c r="F10" s="19">
        <f>1/K5</f>
        <v>3</v>
      </c>
      <c r="G10" s="20">
        <f>1/K6</f>
        <v>3</v>
      </c>
      <c r="H10" s="20">
        <f>1/K7</f>
        <v>0.33333333333333331</v>
      </c>
      <c r="I10" s="20">
        <f>1/K8</f>
        <v>3</v>
      </c>
      <c r="J10" s="20">
        <f>1/K9</f>
        <v>0.2</v>
      </c>
      <c r="K10" s="20">
        <v>1</v>
      </c>
      <c r="L10" s="45">
        <v>0.14285714285714285</v>
      </c>
      <c r="M10" s="45">
        <v>1</v>
      </c>
      <c r="N10" s="45">
        <v>1</v>
      </c>
      <c r="O10" s="45">
        <v>1</v>
      </c>
      <c r="P10" s="45">
        <v>1</v>
      </c>
      <c r="Q10" s="45">
        <v>1</v>
      </c>
      <c r="R10" s="45">
        <v>1</v>
      </c>
      <c r="S10" s="45">
        <v>1</v>
      </c>
      <c r="T10" s="46">
        <v>1</v>
      </c>
      <c r="U10" s="4">
        <v>6</v>
      </c>
      <c r="V10" s="70">
        <f t="shared" si="0"/>
        <v>7.8726940210454691E-2</v>
      </c>
      <c r="W10" s="71">
        <f t="shared" si="1"/>
        <v>7.8726940210454691E-2</v>
      </c>
      <c r="X10" s="4"/>
      <c r="Y10" s="2"/>
      <c r="Z10" s="4"/>
      <c r="AA10" s="4"/>
    </row>
    <row r="11" spans="1:27" ht="15.6" x14ac:dyDescent="0.3">
      <c r="A11" s="4"/>
      <c r="B11" s="17" t="s">
        <v>20</v>
      </c>
      <c r="C11" s="18">
        <f>1/3</f>
        <v>0.33333333333333331</v>
      </c>
      <c r="D11" s="4"/>
      <c r="E11" s="43" t="s">
        <v>62</v>
      </c>
      <c r="F11" s="19">
        <f>1/L5</f>
        <v>9</v>
      </c>
      <c r="G11" s="20">
        <f>1/L6</f>
        <v>9</v>
      </c>
      <c r="H11" s="20">
        <f>1/L7</f>
        <v>5</v>
      </c>
      <c r="I11" s="20">
        <f>1/L8</f>
        <v>7</v>
      </c>
      <c r="J11" s="20">
        <f>1/L9</f>
        <v>3</v>
      </c>
      <c r="K11" s="20">
        <f>1/L10</f>
        <v>7</v>
      </c>
      <c r="L11" s="20">
        <v>1</v>
      </c>
      <c r="M11" s="45">
        <v>1</v>
      </c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5">
        <v>1</v>
      </c>
      <c r="T11" s="46">
        <v>1</v>
      </c>
      <c r="U11" s="4">
        <v>7</v>
      </c>
      <c r="V11" s="70">
        <f t="shared" si="0"/>
        <v>0.42444903128643646</v>
      </c>
      <c r="W11" s="71">
        <f t="shared" si="1"/>
        <v>0.42444903128643646</v>
      </c>
      <c r="X11" s="4"/>
      <c r="Y11" s="2"/>
      <c r="Z11" s="4"/>
      <c r="AA11" s="4"/>
    </row>
    <row r="12" spans="1:27" ht="15.6" x14ac:dyDescent="0.3">
      <c r="A12" s="4"/>
      <c r="B12" s="17"/>
      <c r="C12" s="18">
        <f>1/2</f>
        <v>0.5</v>
      </c>
      <c r="D12" s="4"/>
      <c r="E12" s="43" t="s">
        <v>4</v>
      </c>
      <c r="F12" s="19">
        <f>1/M5</f>
        <v>1</v>
      </c>
      <c r="G12" s="20">
        <f>1/M6</f>
        <v>1</v>
      </c>
      <c r="H12" s="20">
        <f>1/M7</f>
        <v>1</v>
      </c>
      <c r="I12" s="20">
        <f>1/M8</f>
        <v>1</v>
      </c>
      <c r="J12" s="20">
        <f>1/M9</f>
        <v>1</v>
      </c>
      <c r="K12" s="20">
        <f>1/M10</f>
        <v>1</v>
      </c>
      <c r="L12" s="20">
        <f>1/M11</f>
        <v>1</v>
      </c>
      <c r="M12" s="20">
        <v>1</v>
      </c>
      <c r="N12" s="45">
        <v>1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6">
        <v>1</v>
      </c>
      <c r="U12" s="4">
        <v>8</v>
      </c>
      <c r="V12" s="70">
        <f t="shared" si="0"/>
        <v>0</v>
      </c>
      <c r="W12" s="71">
        <f t="shared" si="1"/>
        <v>0</v>
      </c>
      <c r="X12" s="4"/>
      <c r="Y12" s="2"/>
      <c r="Z12" s="4"/>
      <c r="AA12" s="4"/>
    </row>
    <row r="13" spans="1:27" ht="15.6" x14ac:dyDescent="0.3">
      <c r="A13" s="4"/>
      <c r="B13" s="21" t="s">
        <v>16</v>
      </c>
      <c r="C13" s="22">
        <v>1</v>
      </c>
      <c r="D13" s="4"/>
      <c r="E13" s="43" t="s">
        <v>5</v>
      </c>
      <c r="F13" s="19">
        <f>1/N5</f>
        <v>1</v>
      </c>
      <c r="G13" s="20">
        <f>1/N6</f>
        <v>1</v>
      </c>
      <c r="H13" s="20">
        <f>1/N7</f>
        <v>1</v>
      </c>
      <c r="I13" s="20">
        <f>1/N8</f>
        <v>1</v>
      </c>
      <c r="J13" s="20">
        <f>1/N9</f>
        <v>1</v>
      </c>
      <c r="K13" s="20">
        <f>1/N10</f>
        <v>1</v>
      </c>
      <c r="L13" s="20">
        <f>1/N11</f>
        <v>1</v>
      </c>
      <c r="M13" s="20">
        <f>1/N12</f>
        <v>1</v>
      </c>
      <c r="N13" s="20">
        <v>1</v>
      </c>
      <c r="O13" s="45">
        <v>1</v>
      </c>
      <c r="P13" s="45">
        <v>1</v>
      </c>
      <c r="Q13" s="45">
        <v>1</v>
      </c>
      <c r="R13" s="45">
        <v>1</v>
      </c>
      <c r="S13" s="45">
        <v>1</v>
      </c>
      <c r="T13" s="46">
        <v>1</v>
      </c>
      <c r="U13" s="4">
        <v>9</v>
      </c>
      <c r="V13" s="70">
        <f t="shared" si="0"/>
        <v>0</v>
      </c>
      <c r="W13" s="71">
        <f t="shared" si="1"/>
        <v>0</v>
      </c>
      <c r="X13" s="4"/>
      <c r="Y13" s="2"/>
      <c r="Z13" s="4"/>
      <c r="AA13" s="4"/>
    </row>
    <row r="14" spans="1:27" ht="15.6" x14ac:dyDescent="0.3">
      <c r="A14" s="4"/>
      <c r="B14" s="17"/>
      <c r="C14" s="18">
        <v>2</v>
      </c>
      <c r="D14" s="4"/>
      <c r="E14" s="43" t="s">
        <v>6</v>
      </c>
      <c r="F14" s="19">
        <f>1/O5</f>
        <v>1</v>
      </c>
      <c r="G14" s="20">
        <f>1/O6</f>
        <v>1</v>
      </c>
      <c r="H14" s="20">
        <f>1/O7</f>
        <v>1</v>
      </c>
      <c r="I14" s="20">
        <f>1/O8</f>
        <v>1</v>
      </c>
      <c r="J14" s="20">
        <f>1/O9</f>
        <v>1</v>
      </c>
      <c r="K14" s="20">
        <f>1/O10</f>
        <v>1</v>
      </c>
      <c r="L14" s="20">
        <f>1/O11</f>
        <v>1</v>
      </c>
      <c r="M14" s="20">
        <f>1/O12</f>
        <v>1</v>
      </c>
      <c r="N14" s="20">
        <f>1/O13</f>
        <v>1</v>
      </c>
      <c r="O14" s="20">
        <v>1</v>
      </c>
      <c r="P14" s="45">
        <v>1</v>
      </c>
      <c r="Q14" s="45">
        <v>1</v>
      </c>
      <c r="R14" s="45">
        <v>1</v>
      </c>
      <c r="S14" s="45">
        <v>1</v>
      </c>
      <c r="T14" s="46">
        <v>1</v>
      </c>
      <c r="U14" s="4">
        <v>10</v>
      </c>
      <c r="V14" s="70">
        <f t="shared" si="0"/>
        <v>0</v>
      </c>
      <c r="W14" s="71">
        <f t="shared" si="1"/>
        <v>0</v>
      </c>
      <c r="X14" s="4"/>
      <c r="Y14" s="2"/>
      <c r="Z14" s="4"/>
      <c r="AA14" s="4"/>
    </row>
    <row r="15" spans="1:27" ht="15.6" x14ac:dyDescent="0.3">
      <c r="A15" s="4"/>
      <c r="B15" s="17" t="s">
        <v>19</v>
      </c>
      <c r="C15" s="18">
        <v>3</v>
      </c>
      <c r="D15" s="4"/>
      <c r="E15" s="43" t="s">
        <v>11</v>
      </c>
      <c r="F15" s="19">
        <f>1/P5</f>
        <v>1</v>
      </c>
      <c r="G15" s="20">
        <f>1/P6</f>
        <v>1</v>
      </c>
      <c r="H15" s="20">
        <f>1/P7</f>
        <v>1</v>
      </c>
      <c r="I15" s="20">
        <f>1/P8</f>
        <v>1</v>
      </c>
      <c r="J15" s="20">
        <f>1/P9</f>
        <v>1</v>
      </c>
      <c r="K15" s="20">
        <f>1/P10</f>
        <v>1</v>
      </c>
      <c r="L15" s="20">
        <f>1/P11</f>
        <v>1</v>
      </c>
      <c r="M15" s="20">
        <f>1/P12</f>
        <v>1</v>
      </c>
      <c r="N15" s="20">
        <f>1/P13</f>
        <v>1</v>
      </c>
      <c r="O15" s="20">
        <f>1/P14</f>
        <v>1</v>
      </c>
      <c r="P15" s="20">
        <v>1</v>
      </c>
      <c r="Q15" s="45">
        <v>1</v>
      </c>
      <c r="R15" s="45">
        <v>1</v>
      </c>
      <c r="S15" s="45">
        <v>1</v>
      </c>
      <c r="T15" s="46">
        <v>1</v>
      </c>
      <c r="U15" s="4">
        <v>11</v>
      </c>
      <c r="V15" s="70">
        <f t="shared" si="0"/>
        <v>0</v>
      </c>
      <c r="W15" s="71">
        <f t="shared" si="1"/>
        <v>0</v>
      </c>
      <c r="X15" s="4"/>
      <c r="Y15" s="2"/>
      <c r="Z15" s="4"/>
      <c r="AA15" s="4"/>
    </row>
    <row r="16" spans="1:27" ht="15.6" x14ac:dyDescent="0.3">
      <c r="A16" s="4"/>
      <c r="B16" s="17"/>
      <c r="C16" s="18">
        <v>4</v>
      </c>
      <c r="D16" s="4"/>
      <c r="E16" s="43" t="s">
        <v>12</v>
      </c>
      <c r="F16" s="19">
        <f>1/Q5</f>
        <v>1</v>
      </c>
      <c r="G16" s="20">
        <f>1/Q6</f>
        <v>1</v>
      </c>
      <c r="H16" s="20">
        <f>1/Q7</f>
        <v>1</v>
      </c>
      <c r="I16" s="20">
        <f>1/Q8</f>
        <v>1</v>
      </c>
      <c r="J16" s="20">
        <f>1/Q9</f>
        <v>1</v>
      </c>
      <c r="K16" s="20">
        <f>1/Q10</f>
        <v>1</v>
      </c>
      <c r="L16" s="20">
        <f>1/Q11</f>
        <v>1</v>
      </c>
      <c r="M16" s="20">
        <f>1/Q12</f>
        <v>1</v>
      </c>
      <c r="N16" s="20">
        <f>1/Q13</f>
        <v>1</v>
      </c>
      <c r="O16" s="20">
        <f>1/Q14</f>
        <v>1</v>
      </c>
      <c r="P16" s="20">
        <f>1/Q15</f>
        <v>1</v>
      </c>
      <c r="Q16" s="20">
        <v>1</v>
      </c>
      <c r="R16" s="45">
        <v>1</v>
      </c>
      <c r="S16" s="45">
        <v>1</v>
      </c>
      <c r="T16" s="46">
        <v>1</v>
      </c>
      <c r="U16" s="4">
        <v>12</v>
      </c>
      <c r="V16" s="70">
        <f t="shared" si="0"/>
        <v>0</v>
      </c>
      <c r="W16" s="71">
        <f t="shared" si="1"/>
        <v>0</v>
      </c>
      <c r="X16" s="4"/>
      <c r="Y16" s="2"/>
      <c r="Z16" s="4"/>
      <c r="AA16" s="4"/>
    </row>
    <row r="17" spans="1:27" ht="15.6" x14ac:dyDescent="0.3">
      <c r="A17" s="4"/>
      <c r="B17" s="17" t="s">
        <v>17</v>
      </c>
      <c r="C17" s="18">
        <v>5</v>
      </c>
      <c r="D17" s="4"/>
      <c r="E17" s="43" t="s">
        <v>13</v>
      </c>
      <c r="F17" s="19">
        <f>1/R5</f>
        <v>1</v>
      </c>
      <c r="G17" s="20">
        <f>1/R6</f>
        <v>1</v>
      </c>
      <c r="H17" s="20">
        <f>1/R7</f>
        <v>1</v>
      </c>
      <c r="I17" s="20">
        <f>1/R8</f>
        <v>1</v>
      </c>
      <c r="J17" s="20">
        <f>1/R9</f>
        <v>1</v>
      </c>
      <c r="K17" s="20">
        <f>1/R10</f>
        <v>1</v>
      </c>
      <c r="L17" s="20">
        <f>1/R11</f>
        <v>1</v>
      </c>
      <c r="M17" s="20">
        <f>1/R12</f>
        <v>1</v>
      </c>
      <c r="N17" s="20">
        <f>1/R13</f>
        <v>1</v>
      </c>
      <c r="O17" s="20">
        <f>1/R14</f>
        <v>1</v>
      </c>
      <c r="P17" s="20">
        <f>1/R15</f>
        <v>1</v>
      </c>
      <c r="Q17" s="20">
        <f>1/R16</f>
        <v>1</v>
      </c>
      <c r="R17" s="20">
        <v>1</v>
      </c>
      <c r="S17" s="45">
        <v>1</v>
      </c>
      <c r="T17" s="46">
        <v>1</v>
      </c>
      <c r="U17" s="4">
        <v>13</v>
      </c>
      <c r="V17" s="70">
        <f t="shared" si="0"/>
        <v>0</v>
      </c>
      <c r="W17" s="71">
        <f t="shared" si="1"/>
        <v>0</v>
      </c>
      <c r="X17" s="4"/>
      <c r="Y17" s="2"/>
      <c r="Z17" s="4"/>
      <c r="AA17" s="4"/>
    </row>
    <row r="18" spans="1:27" ht="15.6" x14ac:dyDescent="0.3">
      <c r="A18" s="4"/>
      <c r="B18" s="17"/>
      <c r="C18" s="18">
        <v>6</v>
      </c>
      <c r="D18" s="4"/>
      <c r="E18" s="43" t="s">
        <v>14</v>
      </c>
      <c r="F18" s="19">
        <f>1/S5</f>
        <v>1</v>
      </c>
      <c r="G18" s="20">
        <f>1/S6</f>
        <v>1</v>
      </c>
      <c r="H18" s="20">
        <f>1/S7</f>
        <v>1</v>
      </c>
      <c r="I18" s="20">
        <f>1/S8</f>
        <v>1</v>
      </c>
      <c r="J18" s="20">
        <f>1/S9</f>
        <v>1</v>
      </c>
      <c r="K18" s="20">
        <f>1/S10</f>
        <v>1</v>
      </c>
      <c r="L18" s="20">
        <f>1/S11</f>
        <v>1</v>
      </c>
      <c r="M18" s="20">
        <f>1/S12</f>
        <v>1</v>
      </c>
      <c r="N18" s="20">
        <f>1/S13</f>
        <v>1</v>
      </c>
      <c r="O18" s="20">
        <f>1/S14</f>
        <v>1</v>
      </c>
      <c r="P18" s="20">
        <f>1/S15</f>
        <v>1</v>
      </c>
      <c r="Q18" s="20">
        <f>1/S16</f>
        <v>1</v>
      </c>
      <c r="R18" s="20">
        <f>1/S17</f>
        <v>1</v>
      </c>
      <c r="S18" s="20">
        <v>1</v>
      </c>
      <c r="T18" s="46">
        <v>1</v>
      </c>
      <c r="U18" s="4">
        <v>14</v>
      </c>
      <c r="V18" s="70">
        <f t="shared" si="0"/>
        <v>0</v>
      </c>
      <c r="W18" s="71">
        <f t="shared" si="1"/>
        <v>0</v>
      </c>
      <c r="X18" s="4"/>
      <c r="Y18" s="2"/>
      <c r="Z18" s="4"/>
      <c r="AA18" s="4"/>
    </row>
    <row r="19" spans="1:27" ht="16.2" thickBot="1" x14ac:dyDescent="0.35">
      <c r="A19" s="4"/>
      <c r="B19" s="17" t="s">
        <v>21</v>
      </c>
      <c r="C19" s="18">
        <v>7</v>
      </c>
      <c r="D19" s="4"/>
      <c r="E19" s="44" t="s">
        <v>15</v>
      </c>
      <c r="F19" s="23">
        <f>1/T5</f>
        <v>1</v>
      </c>
      <c r="G19" s="24">
        <f>1/T6</f>
        <v>1</v>
      </c>
      <c r="H19" s="24">
        <f>1/T7</f>
        <v>1</v>
      </c>
      <c r="I19" s="24">
        <f>1/T8</f>
        <v>1</v>
      </c>
      <c r="J19" s="24">
        <f>1/T9</f>
        <v>1</v>
      </c>
      <c r="K19" s="24">
        <f>1/T10</f>
        <v>1</v>
      </c>
      <c r="L19" s="24">
        <f>1/T11</f>
        <v>1</v>
      </c>
      <c r="M19" s="24">
        <f>1/T12</f>
        <v>1</v>
      </c>
      <c r="N19" s="24">
        <f>1/T13</f>
        <v>1</v>
      </c>
      <c r="O19" s="24">
        <f>1/T14</f>
        <v>1</v>
      </c>
      <c r="P19" s="24">
        <f>1/T15</f>
        <v>1</v>
      </c>
      <c r="Q19" s="24">
        <f>1/T16</f>
        <v>1</v>
      </c>
      <c r="R19" s="24">
        <f>1/T17</f>
        <v>1</v>
      </c>
      <c r="S19" s="24">
        <f>1/T18</f>
        <v>1</v>
      </c>
      <c r="T19" s="25">
        <v>1</v>
      </c>
      <c r="U19" s="4">
        <v>15</v>
      </c>
      <c r="V19" s="70">
        <f t="shared" si="0"/>
        <v>0</v>
      </c>
      <c r="W19" s="72">
        <f t="shared" si="1"/>
        <v>0</v>
      </c>
      <c r="X19" s="4"/>
      <c r="Y19" s="2"/>
      <c r="Z19" s="4"/>
      <c r="AA19" s="4"/>
    </row>
    <row r="20" spans="1:27" ht="15.6" x14ac:dyDescent="0.3">
      <c r="A20" s="4"/>
      <c r="B20" s="17"/>
      <c r="C20" s="18">
        <v>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  <c r="Y20" s="4"/>
      <c r="Z20" s="4"/>
      <c r="AA20" s="4"/>
    </row>
    <row r="21" spans="1:27" ht="16.2" thickBot="1" x14ac:dyDescent="0.35">
      <c r="A21" s="4"/>
      <c r="B21" s="26" t="s">
        <v>22</v>
      </c>
      <c r="C21" s="27">
        <v>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  <c r="Y21" s="4"/>
      <c r="Z21" s="4"/>
      <c r="AA21" s="4"/>
    </row>
    <row r="22" spans="1:27" ht="15.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  <c r="Y22" s="4"/>
      <c r="Z22" s="4"/>
      <c r="AA22" s="4"/>
    </row>
    <row r="23" spans="1:27" ht="15.6" x14ac:dyDescent="0.3">
      <c r="A23" s="4"/>
      <c r="B23" s="4"/>
      <c r="C23" s="4"/>
      <c r="D23" s="4"/>
      <c r="E23" s="28" t="s">
        <v>8</v>
      </c>
      <c r="F23" s="29">
        <f xml:space="preserve"> SUM(F5:INDEX(F5:F19,$C$2))</f>
        <v>21.533333333333331</v>
      </c>
      <c r="G23" s="29">
        <f>SUM(G5:INDEX(G5:G19,$C$2))</f>
        <v>26.333333333333332</v>
      </c>
      <c r="H23" s="29">
        <f>SUM(H5:INDEX(H5:H19,$C$2))</f>
        <v>10.142857142857142</v>
      </c>
      <c r="I23" s="29">
        <f>IF($C$2&gt;3, SUM(I5:INDEX(I5:I19,$C$2)),0)</f>
        <v>31</v>
      </c>
      <c r="J23" s="29">
        <f>IF($C$2&gt;4, SUM(J5:INDEX(J5:J19,$C$2)),0)</f>
        <v>5.0761904761904759</v>
      </c>
      <c r="K23" s="29">
        <f>IF($C$2&gt;5, SUM(K5:INDEX(K5:K19,$C$2)),0)</f>
        <v>17</v>
      </c>
      <c r="L23" s="29">
        <f>IF($C$2&gt;6, SUM(L5:INDEX(L5:L19,$C$2)),0)</f>
        <v>2.0412698412698411</v>
      </c>
      <c r="M23" s="29">
        <f>IF($C$2&gt;7, SUM(M5:INDEX(M5:M19,$C$2)),0)</f>
        <v>0</v>
      </c>
      <c r="N23" s="29">
        <f>IF($C$2&gt;8, SUM(N5:INDEX(N5:N19,$C$2)),0)</f>
        <v>0</v>
      </c>
      <c r="O23" s="29">
        <f>IF($C$2&gt;9, SUM(O5:INDEX(O5:O19,$C$2)),0)</f>
        <v>0</v>
      </c>
      <c r="P23" s="29">
        <f>IF($C$2&gt;10, SUM(P5:INDEX(P5:P19,$C$2)),0)</f>
        <v>0</v>
      </c>
      <c r="Q23" s="29">
        <f>IF($C$2&gt;11, SUM(Q5:INDEX(Q5:Q19,$C$2)),0)</f>
        <v>0</v>
      </c>
      <c r="R23" s="29">
        <f>IF($C$2&gt;12, SUM(R5:INDEX(R5:R19,$C$2)),0)</f>
        <v>0</v>
      </c>
      <c r="S23" s="29">
        <f>IF($C$2&gt;13, SUM(S5:INDEX(S5:S19,$C$2)),0)</f>
        <v>0</v>
      </c>
      <c r="T23" s="69">
        <f>IF($C$2&gt;14, SUM(T5:T19) - (15-$C$2),0)</f>
        <v>0</v>
      </c>
      <c r="U23" s="67"/>
      <c r="V23" s="67"/>
      <c r="W23" s="4"/>
      <c r="X23" s="5"/>
      <c r="Y23" s="4"/>
      <c r="Z23" s="4"/>
      <c r="AA23" s="4"/>
    </row>
    <row r="24" spans="1:27" ht="15.6" x14ac:dyDescent="0.3">
      <c r="A24" s="4"/>
      <c r="B24" s="4"/>
      <c r="C24" s="4"/>
      <c r="D24" s="4"/>
      <c r="E24" s="4"/>
      <c r="F24" s="6" t="s">
        <v>10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0" t="s">
        <v>51</v>
      </c>
      <c r="W24" s="4"/>
      <c r="X24" s="30" t="s">
        <v>0</v>
      </c>
      <c r="Y24" s="5" t="s">
        <v>31</v>
      </c>
      <c r="Z24" s="31" t="s">
        <v>30</v>
      </c>
      <c r="AA24" s="5" t="s">
        <v>9</v>
      </c>
    </row>
    <row r="25" spans="1:27" ht="15.6" x14ac:dyDescent="0.3">
      <c r="A25" s="4"/>
      <c r="B25" s="4"/>
      <c r="C25" s="4"/>
      <c r="D25" s="4"/>
      <c r="E25" s="4">
        <v>1</v>
      </c>
      <c r="F25" s="32">
        <f>F5/F23</f>
        <v>4.6439628482972138E-2</v>
      </c>
      <c r="G25" s="33">
        <f>G5/G23</f>
        <v>0.1139240506329114</v>
      </c>
      <c r="H25" s="33">
        <f>H5/H23</f>
        <v>3.2863849765258218E-2</v>
      </c>
      <c r="I25" s="33">
        <f t="shared" ref="I25:Q36" si="2">IF(I$23 &gt; 0, I5/I$23,0)</f>
        <v>0.16129032258064516</v>
      </c>
      <c r="J25" s="33">
        <f t="shared" si="2"/>
        <v>3.9399624765478425E-2</v>
      </c>
      <c r="K25" s="33">
        <f t="shared" si="2"/>
        <v>1.9607843137254902E-2</v>
      </c>
      <c r="L25" s="33">
        <f t="shared" si="2"/>
        <v>5.4432348367029551E-2</v>
      </c>
      <c r="M25" s="33">
        <f t="shared" si="2"/>
        <v>0</v>
      </c>
      <c r="N25" s="33">
        <f t="shared" si="2"/>
        <v>0</v>
      </c>
      <c r="O25" s="33">
        <f t="shared" si="2"/>
        <v>0</v>
      </c>
      <c r="P25" s="33">
        <f t="shared" si="2"/>
        <v>0</v>
      </c>
      <c r="Q25" s="33">
        <f t="shared" si="2"/>
        <v>0</v>
      </c>
      <c r="R25" s="33">
        <f>IF(R$23 &gt; 0, R5/R$23,0)</f>
        <v>0</v>
      </c>
      <c r="S25" s="33">
        <f>IF(S$23 &gt; 0, S5/S$23,0)</f>
        <v>0</v>
      </c>
      <c r="T25" s="34">
        <f>IF(T$23 &gt; 0, T5/T$23,0)</f>
        <v>0</v>
      </c>
      <c r="U25" s="36"/>
      <c r="V25" s="68">
        <f>SUM(F25:T25)/$C$2</f>
        <v>6.6851095390221396E-2</v>
      </c>
      <c r="W25" s="4"/>
      <c r="X25" s="30">
        <f>$F$23*V25</f>
        <v>1.4395269207361006</v>
      </c>
      <c r="Y25" s="5">
        <f>SUM(X25:X39)</f>
        <v>8.088119851788564</v>
      </c>
      <c r="Z25" s="5">
        <f>(Y25-$C$2)/($C$2-1)</f>
        <v>0.18135330863142732</v>
      </c>
      <c r="AA25" s="5">
        <f>Z25/AA27</f>
        <v>0.13738887017532372</v>
      </c>
    </row>
    <row r="26" spans="1:27" ht="15.6" x14ac:dyDescent="0.3">
      <c r="A26" s="4"/>
      <c r="B26" s="4"/>
      <c r="C26" s="4"/>
      <c r="D26" s="4"/>
      <c r="E26" s="4">
        <v>2</v>
      </c>
      <c r="F26" s="35">
        <f>F6/F23</f>
        <v>1.5479876160990712E-2</v>
      </c>
      <c r="G26" s="36">
        <f>G6/G23</f>
        <v>3.7974683544303799E-2</v>
      </c>
      <c r="H26" s="36">
        <f>H6/H23</f>
        <v>3.2863849765258218E-2</v>
      </c>
      <c r="I26" s="36">
        <f t="shared" si="2"/>
        <v>9.6774193548387094E-2</v>
      </c>
      <c r="J26" s="36">
        <f t="shared" si="2"/>
        <v>2.8142589118198873E-2</v>
      </c>
      <c r="K26" s="36">
        <f t="shared" si="2"/>
        <v>1.9607843137254902E-2</v>
      </c>
      <c r="L26" s="36">
        <f t="shared" si="2"/>
        <v>5.4432348367029551E-2</v>
      </c>
      <c r="M26" s="36">
        <f t="shared" si="2"/>
        <v>0</v>
      </c>
      <c r="N26" s="36">
        <f t="shared" si="2"/>
        <v>0</v>
      </c>
      <c r="O26" s="36">
        <f t="shared" si="2"/>
        <v>0</v>
      </c>
      <c r="P26" s="36">
        <f t="shared" si="2"/>
        <v>0</v>
      </c>
      <c r="Q26" s="36">
        <f t="shared" si="2"/>
        <v>0</v>
      </c>
      <c r="R26" s="36">
        <f t="shared" ref="R26:R37" si="3">IF(R$23 &gt; 0, R6/R$23,0)</f>
        <v>0</v>
      </c>
      <c r="S26" s="36">
        <f t="shared" ref="S26:T39" si="4">IF(S$23 &gt; 0, S6/S$23,0)</f>
        <v>0</v>
      </c>
      <c r="T26" s="37">
        <f t="shared" si="4"/>
        <v>0</v>
      </c>
      <c r="U26" s="36"/>
      <c r="V26" s="68">
        <f t="shared" ref="V26:V39" si="5">SUM(F26:T26)/$C$2</f>
        <v>4.075362623448902E-2</v>
      </c>
      <c r="W26" s="4"/>
      <c r="X26" s="30">
        <f>$G$23*V26</f>
        <v>1.0731788241748774</v>
      </c>
      <c r="Y26" s="5"/>
      <c r="Z26" s="5" t="s">
        <v>26</v>
      </c>
      <c r="AA26" s="5"/>
    </row>
    <row r="27" spans="1:27" ht="15.6" x14ac:dyDescent="0.3">
      <c r="A27" s="4"/>
      <c r="B27" s="4"/>
      <c r="C27" s="4"/>
      <c r="D27" s="4"/>
      <c r="E27" s="4">
        <v>3</v>
      </c>
      <c r="F27" s="35">
        <f>F7/F23</f>
        <v>0.13931888544891641</v>
      </c>
      <c r="G27" s="36">
        <f>G7/G23</f>
        <v>0.1139240506329114</v>
      </c>
      <c r="H27" s="36">
        <f>H7/H23</f>
        <v>9.8591549295774655E-2</v>
      </c>
      <c r="I27" s="36">
        <f t="shared" si="2"/>
        <v>0.22580645161290322</v>
      </c>
      <c r="J27" s="36">
        <f t="shared" si="2"/>
        <v>6.5666041275797379E-2</v>
      </c>
      <c r="K27" s="36">
        <f t="shared" si="2"/>
        <v>0.17647058823529413</v>
      </c>
      <c r="L27" s="36">
        <f t="shared" si="2"/>
        <v>9.7978227060653206E-2</v>
      </c>
      <c r="M27" s="36">
        <f t="shared" si="2"/>
        <v>0</v>
      </c>
      <c r="N27" s="36">
        <f t="shared" si="2"/>
        <v>0</v>
      </c>
      <c r="O27" s="36">
        <f t="shared" si="2"/>
        <v>0</v>
      </c>
      <c r="P27" s="36">
        <f t="shared" si="2"/>
        <v>0</v>
      </c>
      <c r="Q27" s="36">
        <f t="shared" si="2"/>
        <v>0</v>
      </c>
      <c r="R27" s="36">
        <f t="shared" si="3"/>
        <v>0</v>
      </c>
      <c r="S27" s="36">
        <f t="shared" si="4"/>
        <v>0</v>
      </c>
      <c r="T27" s="37">
        <f t="shared" si="4"/>
        <v>0</v>
      </c>
      <c r="U27" s="36"/>
      <c r="V27" s="68">
        <f t="shared" si="5"/>
        <v>0.13110797050889292</v>
      </c>
      <c r="W27" s="4"/>
      <c r="X27" s="30">
        <f>$H$23*V27</f>
        <v>1.3298094151616282</v>
      </c>
      <c r="Y27" s="38">
        <v>3</v>
      </c>
      <c r="Z27" s="5">
        <v>0.57999999999999996</v>
      </c>
      <c r="AA27" s="5">
        <f>INDEX(Y27:Z39,$C$2-2,2)</f>
        <v>1.32</v>
      </c>
    </row>
    <row r="28" spans="1:27" ht="15.6" x14ac:dyDescent="0.3">
      <c r="A28" s="4"/>
      <c r="B28" s="4"/>
      <c r="C28" s="4"/>
      <c r="D28" s="4"/>
      <c r="E28" s="4">
        <v>4</v>
      </c>
      <c r="F28" s="35">
        <f>IF(AND(F$23 &gt; 0, $C$2&gt;3),F8/F$23,0)</f>
        <v>9.2879256965944287E-3</v>
      </c>
      <c r="G28" s="36">
        <f>IF(AND(G$23 &gt; 0, $C$2&gt;3),G8/G$23,0)</f>
        <v>1.2658227848101266E-2</v>
      </c>
      <c r="H28" s="36">
        <f>IF(AND(H$23 &gt; 0, $C$2&gt;3),H8/H$23,0)</f>
        <v>1.4084507042253521E-2</v>
      </c>
      <c r="I28" s="36">
        <f t="shared" si="2"/>
        <v>3.2258064516129031E-2</v>
      </c>
      <c r="J28" s="36">
        <f t="shared" si="2"/>
        <v>3.9399624765478425E-2</v>
      </c>
      <c r="K28" s="36">
        <f t="shared" si="2"/>
        <v>1.9607843137254902E-2</v>
      </c>
      <c r="L28" s="36">
        <f t="shared" si="2"/>
        <v>6.9984447900466568E-2</v>
      </c>
      <c r="M28" s="36">
        <f t="shared" si="2"/>
        <v>0</v>
      </c>
      <c r="N28" s="36">
        <f t="shared" si="2"/>
        <v>0</v>
      </c>
      <c r="O28" s="36">
        <f t="shared" si="2"/>
        <v>0</v>
      </c>
      <c r="P28" s="36">
        <f t="shared" si="2"/>
        <v>0</v>
      </c>
      <c r="Q28" s="36">
        <f t="shared" si="2"/>
        <v>0</v>
      </c>
      <c r="R28" s="36">
        <f t="shared" si="3"/>
        <v>0</v>
      </c>
      <c r="S28" s="36">
        <f t="shared" si="4"/>
        <v>0</v>
      </c>
      <c r="T28" s="37">
        <f t="shared" si="4"/>
        <v>0</v>
      </c>
      <c r="U28" s="36"/>
      <c r="V28" s="68">
        <f t="shared" si="5"/>
        <v>2.8182948700896878E-2</v>
      </c>
      <c r="W28" s="4"/>
      <c r="X28" s="30">
        <f>$I$23*V28</f>
        <v>0.87367140972780322</v>
      </c>
      <c r="Y28" s="38">
        <v>4</v>
      </c>
      <c r="Z28" s="5">
        <v>0.9</v>
      </c>
      <c r="AA28" s="5"/>
    </row>
    <row r="29" spans="1:27" ht="15.6" x14ac:dyDescent="0.3">
      <c r="A29" s="4"/>
      <c r="B29" s="4"/>
      <c r="C29" s="4"/>
      <c r="D29" s="4"/>
      <c r="E29" s="4">
        <v>5</v>
      </c>
      <c r="F29" s="35">
        <f>IF(AND(F$23 &gt; 0, $C$2&gt;4),F9/F$23,0)</f>
        <v>0.2321981424148607</v>
      </c>
      <c r="G29" s="36">
        <f>IF(AND(G$23 &gt; 0, $C$2&gt;4),G9/G$23,0)</f>
        <v>0.26582278481012661</v>
      </c>
      <c r="H29" s="36">
        <f>IF(AND(H$23 &gt; 0, $C$2&gt;4),H9/H$23,0)</f>
        <v>0.29577464788732394</v>
      </c>
      <c r="I29" s="36">
        <f>IF(AND(I$23 &gt; 0, $C$2&gt;4),I9/I$23,0)</f>
        <v>0.16129032258064516</v>
      </c>
      <c r="J29" s="36">
        <f t="shared" si="2"/>
        <v>0.19699812382739212</v>
      </c>
      <c r="K29" s="36">
        <f t="shared" si="2"/>
        <v>0.29411764705882354</v>
      </c>
      <c r="L29" s="36">
        <f t="shared" si="2"/>
        <v>0.16329704510108864</v>
      </c>
      <c r="M29" s="36">
        <f t="shared" si="2"/>
        <v>0</v>
      </c>
      <c r="N29" s="36">
        <f t="shared" si="2"/>
        <v>0</v>
      </c>
      <c r="O29" s="36">
        <f t="shared" si="2"/>
        <v>0</v>
      </c>
      <c r="P29" s="36">
        <f t="shared" si="2"/>
        <v>0</v>
      </c>
      <c r="Q29" s="36">
        <f t="shared" si="2"/>
        <v>0</v>
      </c>
      <c r="R29" s="36">
        <f t="shared" si="3"/>
        <v>0</v>
      </c>
      <c r="S29" s="36">
        <f t="shared" si="4"/>
        <v>0</v>
      </c>
      <c r="T29" s="37">
        <f t="shared" si="4"/>
        <v>0</v>
      </c>
      <c r="U29" s="36"/>
      <c r="V29" s="68">
        <f t="shared" si="5"/>
        <v>0.22992838766860868</v>
      </c>
      <c r="W29" s="4"/>
      <c r="X29" s="30">
        <f>$J$23*V29</f>
        <v>1.167160291689223</v>
      </c>
      <c r="Y29" s="38">
        <v>5</v>
      </c>
      <c r="Z29" s="5">
        <v>1.1200000000000001</v>
      </c>
      <c r="AA29" s="5"/>
    </row>
    <row r="30" spans="1:27" ht="15.6" x14ac:dyDescent="0.3">
      <c r="A30" s="4"/>
      <c r="B30" s="4"/>
      <c r="C30" s="4"/>
      <c r="D30" s="4"/>
      <c r="E30" s="4">
        <v>6</v>
      </c>
      <c r="F30" s="35">
        <f>IF(AND(F$23 &gt; 0, $C$2&gt;5),F10/F$23,0)</f>
        <v>0.13931888544891641</v>
      </c>
      <c r="G30" s="36">
        <f>IF(AND(G$23 &gt; 0, $C$2&gt;5),G10/G$23,0)</f>
        <v>0.1139240506329114</v>
      </c>
      <c r="H30" s="36">
        <f>IF(AND(H$23 &gt; 0, $C$2&gt;5),H10/H$23,0)</f>
        <v>3.2863849765258218E-2</v>
      </c>
      <c r="I30" s="36">
        <f>IF(AND(I$23 &gt; 0, $C$2&gt;5),I10/I$23,0)</f>
        <v>9.6774193548387094E-2</v>
      </c>
      <c r="J30" s="36">
        <f>IF(AND(J$23 &gt; 0, $C$2&gt;5),J10/J$23,0)</f>
        <v>3.9399624765478425E-2</v>
      </c>
      <c r="K30" s="36">
        <f t="shared" si="2"/>
        <v>5.8823529411764705E-2</v>
      </c>
      <c r="L30" s="36">
        <f t="shared" si="2"/>
        <v>6.9984447900466568E-2</v>
      </c>
      <c r="M30" s="36">
        <f t="shared" si="2"/>
        <v>0</v>
      </c>
      <c r="N30" s="36">
        <f t="shared" si="2"/>
        <v>0</v>
      </c>
      <c r="O30" s="36">
        <f t="shared" si="2"/>
        <v>0</v>
      </c>
      <c r="P30" s="36">
        <f t="shared" si="2"/>
        <v>0</v>
      </c>
      <c r="Q30" s="36">
        <f t="shared" si="2"/>
        <v>0</v>
      </c>
      <c r="R30" s="36">
        <f t="shared" si="3"/>
        <v>0</v>
      </c>
      <c r="S30" s="36">
        <f t="shared" si="4"/>
        <v>0</v>
      </c>
      <c r="T30" s="37">
        <f t="shared" si="4"/>
        <v>0</v>
      </c>
      <c r="U30" s="36"/>
      <c r="V30" s="68">
        <f t="shared" si="5"/>
        <v>7.8726940210454691E-2</v>
      </c>
      <c r="W30" s="4"/>
      <c r="X30" s="30">
        <f>$K$23*V30</f>
        <v>1.3383579835777297</v>
      </c>
      <c r="Y30" s="38">
        <v>6</v>
      </c>
      <c r="Z30" s="5">
        <v>1.24</v>
      </c>
      <c r="AA30" s="5"/>
    </row>
    <row r="31" spans="1:27" ht="15.6" x14ac:dyDescent="0.3">
      <c r="A31" s="4"/>
      <c r="B31" s="4"/>
      <c r="C31" s="4"/>
      <c r="D31" s="4"/>
      <c r="E31" s="4">
        <v>7</v>
      </c>
      <c r="F31" s="35">
        <f t="shared" ref="F31:K31" si="6">IF(AND(F$23 &gt; 0, $C$2&gt;6),F11/F$23,0)</f>
        <v>0.41795665634674928</v>
      </c>
      <c r="G31" s="36">
        <f t="shared" si="6"/>
        <v>0.34177215189873417</v>
      </c>
      <c r="H31" s="36">
        <f t="shared" si="6"/>
        <v>0.49295774647887325</v>
      </c>
      <c r="I31" s="36">
        <f t="shared" si="6"/>
        <v>0.22580645161290322</v>
      </c>
      <c r="J31" s="36">
        <f t="shared" si="6"/>
        <v>0.59099437148217637</v>
      </c>
      <c r="K31" s="36">
        <f t="shared" si="6"/>
        <v>0.41176470588235292</v>
      </c>
      <c r="L31" s="36">
        <f t="shared" si="2"/>
        <v>0.489891135303266</v>
      </c>
      <c r="M31" s="36">
        <f t="shared" si="2"/>
        <v>0</v>
      </c>
      <c r="N31" s="36">
        <f t="shared" si="2"/>
        <v>0</v>
      </c>
      <c r="O31" s="36">
        <f t="shared" si="2"/>
        <v>0</v>
      </c>
      <c r="P31" s="36">
        <f t="shared" si="2"/>
        <v>0</v>
      </c>
      <c r="Q31" s="36">
        <f t="shared" si="2"/>
        <v>0</v>
      </c>
      <c r="R31" s="36">
        <f t="shared" si="3"/>
        <v>0</v>
      </c>
      <c r="S31" s="36">
        <f t="shared" si="4"/>
        <v>0</v>
      </c>
      <c r="T31" s="37">
        <f t="shared" si="4"/>
        <v>0</v>
      </c>
      <c r="U31" s="36"/>
      <c r="V31" s="68">
        <f t="shared" si="5"/>
        <v>0.42444903128643646</v>
      </c>
      <c r="W31" s="4"/>
      <c r="X31" s="30">
        <f>$L$23*V31</f>
        <v>0.86641500672120197</v>
      </c>
      <c r="Y31" s="38">
        <v>7</v>
      </c>
      <c r="Z31" s="5">
        <v>1.32</v>
      </c>
      <c r="AA31" s="5"/>
    </row>
    <row r="32" spans="1:27" ht="15.6" x14ac:dyDescent="0.3">
      <c r="A32" s="4"/>
      <c r="B32" s="4"/>
      <c r="C32" s="4"/>
      <c r="D32" s="4"/>
      <c r="E32" s="4">
        <v>8</v>
      </c>
      <c r="F32" s="35">
        <f>IF(AND(F$23 &gt; 0, $C$2&gt;7),F12/F$23,0)</f>
        <v>0</v>
      </c>
      <c r="G32" s="36">
        <f t="shared" ref="G32:L32" si="7">IF(AND(G$23 &gt; 0, $C$2&gt;7),G12/G$23,0)</f>
        <v>0</v>
      </c>
      <c r="H32" s="36">
        <f t="shared" si="7"/>
        <v>0</v>
      </c>
      <c r="I32" s="36">
        <f t="shared" si="7"/>
        <v>0</v>
      </c>
      <c r="J32" s="36">
        <f t="shared" si="7"/>
        <v>0</v>
      </c>
      <c r="K32" s="36">
        <f t="shared" si="7"/>
        <v>0</v>
      </c>
      <c r="L32" s="36">
        <f t="shared" si="7"/>
        <v>0</v>
      </c>
      <c r="M32" s="36">
        <f t="shared" si="2"/>
        <v>0</v>
      </c>
      <c r="N32" s="36">
        <f t="shared" si="2"/>
        <v>0</v>
      </c>
      <c r="O32" s="36">
        <f t="shared" si="2"/>
        <v>0</v>
      </c>
      <c r="P32" s="36">
        <f t="shared" si="2"/>
        <v>0</v>
      </c>
      <c r="Q32" s="36">
        <f t="shared" si="2"/>
        <v>0</v>
      </c>
      <c r="R32" s="36">
        <f t="shared" si="3"/>
        <v>0</v>
      </c>
      <c r="S32" s="36">
        <f t="shared" si="4"/>
        <v>0</v>
      </c>
      <c r="T32" s="37">
        <f t="shared" si="4"/>
        <v>0</v>
      </c>
      <c r="U32" s="36"/>
      <c r="V32" s="68">
        <f t="shared" si="5"/>
        <v>0</v>
      </c>
      <c r="W32" s="4"/>
      <c r="X32" s="30">
        <f>$M$23*V32</f>
        <v>0</v>
      </c>
      <c r="Y32" s="38">
        <v>8</v>
      </c>
      <c r="Z32" s="5">
        <v>1.41</v>
      </c>
      <c r="AA32" s="5"/>
    </row>
    <row r="33" spans="1:27" ht="15.6" x14ac:dyDescent="0.3">
      <c r="A33" s="4"/>
      <c r="B33" s="4"/>
      <c r="C33" s="4"/>
      <c r="D33" s="4"/>
      <c r="E33" s="4">
        <v>9</v>
      </c>
      <c r="F33" s="35">
        <f>IF(AND(F$23 &gt; 0, $C$2&gt;8),F13/F$23,0)</f>
        <v>0</v>
      </c>
      <c r="G33" s="36">
        <f t="shared" ref="G33:M33" si="8">IF(AND(G$23 &gt; 0, $C$2&gt;8),G13/G$23,0)</f>
        <v>0</v>
      </c>
      <c r="H33" s="36">
        <f t="shared" si="8"/>
        <v>0</v>
      </c>
      <c r="I33" s="36">
        <f t="shared" si="8"/>
        <v>0</v>
      </c>
      <c r="J33" s="36">
        <f t="shared" si="8"/>
        <v>0</v>
      </c>
      <c r="K33" s="36">
        <f t="shared" si="8"/>
        <v>0</v>
      </c>
      <c r="L33" s="36">
        <f t="shared" si="8"/>
        <v>0</v>
      </c>
      <c r="M33" s="36">
        <f t="shared" si="8"/>
        <v>0</v>
      </c>
      <c r="N33" s="36">
        <f t="shared" si="2"/>
        <v>0</v>
      </c>
      <c r="O33" s="36">
        <f t="shared" si="2"/>
        <v>0</v>
      </c>
      <c r="P33" s="36">
        <f t="shared" si="2"/>
        <v>0</v>
      </c>
      <c r="Q33" s="36">
        <f t="shared" si="2"/>
        <v>0</v>
      </c>
      <c r="R33" s="36">
        <f t="shared" si="3"/>
        <v>0</v>
      </c>
      <c r="S33" s="36">
        <f t="shared" si="4"/>
        <v>0</v>
      </c>
      <c r="T33" s="37">
        <f t="shared" si="4"/>
        <v>0</v>
      </c>
      <c r="U33" s="36"/>
      <c r="V33" s="68">
        <f t="shared" si="5"/>
        <v>0</v>
      </c>
      <c r="W33" s="4"/>
      <c r="X33" s="30">
        <f>$N$23*V33</f>
        <v>0</v>
      </c>
      <c r="Y33" s="38">
        <v>9</v>
      </c>
      <c r="Z33" s="5">
        <v>1.45</v>
      </c>
      <c r="AA33" s="5"/>
    </row>
    <row r="34" spans="1:27" ht="15.6" x14ac:dyDescent="0.3">
      <c r="A34" s="4"/>
      <c r="B34" s="4"/>
      <c r="C34" s="4"/>
      <c r="D34" s="4"/>
      <c r="E34" s="4">
        <v>10</v>
      </c>
      <c r="F34" s="35">
        <f>IF(AND(F$23 &gt; 0, $C$2&gt;9),F14/F$23,0)</f>
        <v>0</v>
      </c>
      <c r="G34" s="36">
        <f t="shared" ref="G34:N34" si="9">IF(AND(G$23 &gt; 0, $C$2&gt;9),G14/G$23,0)</f>
        <v>0</v>
      </c>
      <c r="H34" s="36">
        <f t="shared" si="9"/>
        <v>0</v>
      </c>
      <c r="I34" s="36">
        <f t="shared" si="9"/>
        <v>0</v>
      </c>
      <c r="J34" s="36">
        <f t="shared" si="9"/>
        <v>0</v>
      </c>
      <c r="K34" s="36">
        <f t="shared" si="9"/>
        <v>0</v>
      </c>
      <c r="L34" s="36">
        <f t="shared" si="9"/>
        <v>0</v>
      </c>
      <c r="M34" s="36">
        <f t="shared" si="9"/>
        <v>0</v>
      </c>
      <c r="N34" s="36">
        <f t="shared" si="9"/>
        <v>0</v>
      </c>
      <c r="O34" s="36">
        <f t="shared" si="2"/>
        <v>0</v>
      </c>
      <c r="P34" s="36">
        <f t="shared" si="2"/>
        <v>0</v>
      </c>
      <c r="Q34" s="36">
        <f t="shared" si="2"/>
        <v>0</v>
      </c>
      <c r="R34" s="36">
        <f t="shared" si="3"/>
        <v>0</v>
      </c>
      <c r="S34" s="36">
        <f t="shared" si="4"/>
        <v>0</v>
      </c>
      <c r="T34" s="37">
        <f t="shared" si="4"/>
        <v>0</v>
      </c>
      <c r="U34" s="36"/>
      <c r="V34" s="68">
        <f t="shared" si="5"/>
        <v>0</v>
      </c>
      <c r="W34" s="4"/>
      <c r="X34" s="30">
        <f>$O$23*V34</f>
        <v>0</v>
      </c>
      <c r="Y34" s="38">
        <v>10</v>
      </c>
      <c r="Z34" s="5">
        <v>1.51</v>
      </c>
      <c r="AA34" s="5"/>
    </row>
    <row r="35" spans="1:27" ht="15.6" x14ac:dyDescent="0.3">
      <c r="A35" s="4"/>
      <c r="B35" s="4"/>
      <c r="C35" s="4"/>
      <c r="D35" s="4"/>
      <c r="E35" s="4">
        <v>11</v>
      </c>
      <c r="F35" s="35">
        <f>IF(AND(F$23 &gt; 0, $C$2&gt;10),F15/F$23,0)</f>
        <v>0</v>
      </c>
      <c r="G35" s="36">
        <f t="shared" ref="G35:O35" si="10">IF(AND(G$23 &gt; 0, $C$2&gt;10),G15/G$23,0)</f>
        <v>0</v>
      </c>
      <c r="H35" s="36">
        <f t="shared" si="10"/>
        <v>0</v>
      </c>
      <c r="I35" s="36">
        <f t="shared" si="10"/>
        <v>0</v>
      </c>
      <c r="J35" s="36">
        <f t="shared" si="10"/>
        <v>0</v>
      </c>
      <c r="K35" s="36">
        <f t="shared" si="10"/>
        <v>0</v>
      </c>
      <c r="L35" s="36">
        <f t="shared" si="10"/>
        <v>0</v>
      </c>
      <c r="M35" s="36">
        <f t="shared" si="10"/>
        <v>0</v>
      </c>
      <c r="N35" s="36">
        <f t="shared" si="10"/>
        <v>0</v>
      </c>
      <c r="O35" s="36">
        <f t="shared" si="10"/>
        <v>0</v>
      </c>
      <c r="P35" s="36">
        <f t="shared" si="2"/>
        <v>0</v>
      </c>
      <c r="Q35" s="36">
        <f t="shared" si="2"/>
        <v>0</v>
      </c>
      <c r="R35" s="36">
        <f t="shared" si="3"/>
        <v>0</v>
      </c>
      <c r="S35" s="36">
        <f t="shared" si="4"/>
        <v>0</v>
      </c>
      <c r="T35" s="37">
        <f t="shared" si="4"/>
        <v>0</v>
      </c>
      <c r="U35" s="36"/>
      <c r="V35" s="68">
        <f t="shared" si="5"/>
        <v>0</v>
      </c>
      <c r="W35" s="4"/>
      <c r="X35" s="30">
        <f>$P$23*V35</f>
        <v>0</v>
      </c>
      <c r="Y35" s="38">
        <v>11</v>
      </c>
      <c r="Z35" s="5">
        <v>1.52</v>
      </c>
      <c r="AA35" s="4"/>
    </row>
    <row r="36" spans="1:27" ht="15.6" x14ac:dyDescent="0.3">
      <c r="A36" s="4"/>
      <c r="B36" s="4"/>
      <c r="C36" s="4"/>
      <c r="D36" s="4"/>
      <c r="E36" s="4">
        <v>12</v>
      </c>
      <c r="F36" s="35">
        <f>IF(AND(F$23 &gt; 0, $C$2&gt;11),F16/F$23,0)</f>
        <v>0</v>
      </c>
      <c r="G36" s="36">
        <f t="shared" ref="G36:P36" si="11">IF(AND(G$23 &gt; 0, $C$2&gt;11),G16/G$23,0)</f>
        <v>0</v>
      </c>
      <c r="H36" s="36">
        <f t="shared" si="11"/>
        <v>0</v>
      </c>
      <c r="I36" s="36">
        <f t="shared" si="11"/>
        <v>0</v>
      </c>
      <c r="J36" s="36">
        <f t="shared" si="11"/>
        <v>0</v>
      </c>
      <c r="K36" s="36">
        <f t="shared" si="11"/>
        <v>0</v>
      </c>
      <c r="L36" s="36">
        <f t="shared" si="11"/>
        <v>0</v>
      </c>
      <c r="M36" s="36">
        <f t="shared" si="11"/>
        <v>0</v>
      </c>
      <c r="N36" s="36">
        <f t="shared" si="11"/>
        <v>0</v>
      </c>
      <c r="O36" s="36">
        <f t="shared" si="11"/>
        <v>0</v>
      </c>
      <c r="P36" s="36">
        <f t="shared" si="11"/>
        <v>0</v>
      </c>
      <c r="Q36" s="36">
        <f t="shared" si="2"/>
        <v>0</v>
      </c>
      <c r="R36" s="36">
        <f t="shared" si="3"/>
        <v>0</v>
      </c>
      <c r="S36" s="36">
        <f t="shared" si="4"/>
        <v>0</v>
      </c>
      <c r="T36" s="37">
        <f t="shared" si="4"/>
        <v>0</v>
      </c>
      <c r="U36" s="36"/>
      <c r="V36" s="68">
        <f t="shared" si="5"/>
        <v>0</v>
      </c>
      <c r="W36" s="4"/>
      <c r="X36" s="30">
        <f>$Q$23*V36</f>
        <v>0</v>
      </c>
      <c r="Y36" s="38">
        <v>12</v>
      </c>
      <c r="Z36" s="5">
        <v>1.54</v>
      </c>
      <c r="AA36" s="4"/>
    </row>
    <row r="37" spans="1:27" ht="15.6" x14ac:dyDescent="0.3">
      <c r="A37" s="4"/>
      <c r="B37" s="4"/>
      <c r="C37" s="4"/>
      <c r="D37" s="4"/>
      <c r="E37" s="4">
        <v>13</v>
      </c>
      <c r="F37" s="35">
        <f t="shared" ref="F37:P37" si="12">IF(AND(F$23 &gt; 0, $C$2&gt;12),F17/F$23,0)</f>
        <v>0</v>
      </c>
      <c r="G37" s="36">
        <f t="shared" si="12"/>
        <v>0</v>
      </c>
      <c r="H37" s="36">
        <f t="shared" si="12"/>
        <v>0</v>
      </c>
      <c r="I37" s="36">
        <f t="shared" si="12"/>
        <v>0</v>
      </c>
      <c r="J37" s="36">
        <f t="shared" si="12"/>
        <v>0</v>
      </c>
      <c r="K37" s="36">
        <f t="shared" si="12"/>
        <v>0</v>
      </c>
      <c r="L37" s="36">
        <f t="shared" si="12"/>
        <v>0</v>
      </c>
      <c r="M37" s="36">
        <f t="shared" si="12"/>
        <v>0</v>
      </c>
      <c r="N37" s="36">
        <f t="shared" si="12"/>
        <v>0</v>
      </c>
      <c r="O37" s="36">
        <f t="shared" si="12"/>
        <v>0</v>
      </c>
      <c r="P37" s="36">
        <f t="shared" si="12"/>
        <v>0</v>
      </c>
      <c r="Q37" s="36">
        <f>IF(AND(Q$23 &gt; 0, $C$2&gt;12),Q17/Q$23,0)</f>
        <v>0</v>
      </c>
      <c r="R37" s="36">
        <f t="shared" si="3"/>
        <v>0</v>
      </c>
      <c r="S37" s="36">
        <f t="shared" si="4"/>
        <v>0</v>
      </c>
      <c r="T37" s="37">
        <f t="shared" si="4"/>
        <v>0</v>
      </c>
      <c r="U37" s="36"/>
      <c r="V37" s="68">
        <f t="shared" si="5"/>
        <v>0</v>
      </c>
      <c r="W37" s="4"/>
      <c r="X37" s="30">
        <f>$R$23*V37</f>
        <v>0</v>
      </c>
      <c r="Y37" s="38">
        <v>13</v>
      </c>
      <c r="Z37" s="5">
        <v>1.56</v>
      </c>
      <c r="AA37" s="4"/>
    </row>
    <row r="38" spans="1:27" ht="15.6" x14ac:dyDescent="0.3">
      <c r="A38" s="4"/>
      <c r="B38" s="4"/>
      <c r="C38" s="4"/>
      <c r="D38" s="4"/>
      <c r="E38" s="4">
        <v>14</v>
      </c>
      <c r="F38" s="35">
        <f t="shared" ref="F38:Q38" si="13">IF(AND(F$23 &gt; 0,$C$2&gt;13), F18/F$23,0)</f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  <c r="N38" s="36">
        <f t="shared" si="13"/>
        <v>0</v>
      </c>
      <c r="O38" s="36">
        <f t="shared" si="13"/>
        <v>0</v>
      </c>
      <c r="P38" s="36">
        <f t="shared" si="13"/>
        <v>0</v>
      </c>
      <c r="Q38" s="36">
        <f t="shared" si="13"/>
        <v>0</v>
      </c>
      <c r="R38" s="36">
        <f>IF(AND(R$23 &gt; 0,$C$2&gt;13), R18/R$23,0)</f>
        <v>0</v>
      </c>
      <c r="S38" s="36">
        <f t="shared" si="4"/>
        <v>0</v>
      </c>
      <c r="T38" s="37">
        <f t="shared" si="4"/>
        <v>0</v>
      </c>
      <c r="U38" s="36"/>
      <c r="V38" s="68">
        <f t="shared" si="5"/>
        <v>0</v>
      </c>
      <c r="W38" s="4"/>
      <c r="X38" s="30">
        <f>$S$23*V38</f>
        <v>0</v>
      </c>
      <c r="Y38" s="38">
        <v>14</v>
      </c>
      <c r="Z38" s="5">
        <v>1.58</v>
      </c>
      <c r="AA38" s="4"/>
    </row>
    <row r="39" spans="1:27" ht="15.6" x14ac:dyDescent="0.3">
      <c r="A39" s="4"/>
      <c r="B39" s="47" t="s">
        <v>36</v>
      </c>
      <c r="C39" s="4"/>
      <c r="D39" s="4"/>
      <c r="E39" s="4">
        <v>15</v>
      </c>
      <c r="F39" s="39">
        <f t="shared" ref="F39:R39" si="14">IF(AND(F$23 &gt; 0,$C$2 &gt;14), F19/F$23,0)</f>
        <v>0</v>
      </c>
      <c r="G39" s="40">
        <f t="shared" si="14"/>
        <v>0</v>
      </c>
      <c r="H39" s="40">
        <f t="shared" si="14"/>
        <v>0</v>
      </c>
      <c r="I39" s="40">
        <f t="shared" si="14"/>
        <v>0</v>
      </c>
      <c r="J39" s="40">
        <f t="shared" si="14"/>
        <v>0</v>
      </c>
      <c r="K39" s="40">
        <f t="shared" si="14"/>
        <v>0</v>
      </c>
      <c r="L39" s="40">
        <f t="shared" si="14"/>
        <v>0</v>
      </c>
      <c r="M39" s="40">
        <f t="shared" si="14"/>
        <v>0</v>
      </c>
      <c r="N39" s="40">
        <f t="shared" si="14"/>
        <v>0</v>
      </c>
      <c r="O39" s="40">
        <f t="shared" si="14"/>
        <v>0</v>
      </c>
      <c r="P39" s="40">
        <f t="shared" si="14"/>
        <v>0</v>
      </c>
      <c r="Q39" s="40">
        <f t="shared" si="14"/>
        <v>0</v>
      </c>
      <c r="R39" s="40">
        <f t="shared" si="14"/>
        <v>0</v>
      </c>
      <c r="S39" s="40">
        <f>IF(AND(S$23 &gt; 0,$C$2 &gt;14), S19/S$23,0)</f>
        <v>0</v>
      </c>
      <c r="T39" s="41">
        <f t="shared" si="4"/>
        <v>0</v>
      </c>
      <c r="U39" s="36"/>
      <c r="V39" s="68">
        <f t="shared" si="5"/>
        <v>0</v>
      </c>
      <c r="W39" s="4"/>
      <c r="X39" s="30">
        <f>$T$23*V39</f>
        <v>0</v>
      </c>
      <c r="Y39" s="38">
        <v>15</v>
      </c>
      <c r="Z39" s="5">
        <v>1.59</v>
      </c>
      <c r="AA39" s="4"/>
    </row>
    <row r="40" spans="1:27" ht="15.6" x14ac:dyDescent="0.3">
      <c r="A40" s="4"/>
      <c r="B40" s="48" t="s">
        <v>37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"/>
      <c r="Y40" s="4"/>
      <c r="Z40" s="4"/>
      <c r="AA40" s="4"/>
    </row>
    <row r="41" spans="1:27" ht="15.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  <c r="Y41" s="4"/>
      <c r="Z41" s="4"/>
      <c r="AA41" s="4"/>
    </row>
  </sheetData>
  <sheetProtection password="FA7B" sheet="1" objects="1" scenarios="1" selectLockedCells="1"/>
  <mergeCells count="6">
    <mergeCell ref="B4:C4"/>
    <mergeCell ref="F2:K2"/>
    <mergeCell ref="X4:Y4"/>
    <mergeCell ref="X5:Y5"/>
    <mergeCell ref="X6:Y6"/>
    <mergeCell ref="V4:W4"/>
  </mergeCells>
  <conditionalFormatting sqref="X5">
    <cfRule type="containsText" dxfId="35" priority="27" operator="containsText" text="Check">
      <formula>NOT(ISERROR(SEARCH("Check",X5)))</formula>
    </cfRule>
  </conditionalFormatting>
  <conditionalFormatting sqref="X6">
    <cfRule type="cellIs" dxfId="34" priority="25" operator="greaterThan">
      <formula>0.1</formula>
    </cfRule>
    <cfRule type="containsText" dxfId="33" priority="26" operator="containsText" text="Check">
      <formula>NOT(ISERROR(SEARCH("Check",X6)))</formula>
    </cfRule>
  </conditionalFormatting>
  <conditionalFormatting sqref="T4:T18 E19:T19 W19">
    <cfRule type="expression" dxfId="32" priority="18">
      <formula>$C$2 &lt; 15</formula>
    </cfRule>
  </conditionalFormatting>
  <conditionalFormatting sqref="E17">
    <cfRule type="expression" dxfId="31" priority="12">
      <formula>$C$2 &lt; 13</formula>
    </cfRule>
    <cfRule type="expression" dxfId="30" priority="13">
      <formula>$C$2 &lt; 13</formula>
    </cfRule>
  </conditionalFormatting>
  <conditionalFormatting sqref="E8:I8 I4:I7 W8">
    <cfRule type="expression" dxfId="29" priority="11">
      <formula>$C$2 &lt; 4</formula>
    </cfRule>
  </conditionalFormatting>
  <conditionalFormatting sqref="E18:S18 S4:S17 W18">
    <cfRule type="expression" dxfId="28" priority="10">
      <formula>$C$2 &lt; 14</formula>
    </cfRule>
  </conditionalFormatting>
  <conditionalFormatting sqref="E16:Q16 Q4:Q15 W16">
    <cfRule type="expression" dxfId="27" priority="8">
      <formula>$C$2 &lt; 12</formula>
    </cfRule>
  </conditionalFormatting>
  <conditionalFormatting sqref="E15:P15 P4:P14 W15">
    <cfRule type="expression" dxfId="26" priority="7">
      <formula>$C$2 &lt; 11</formula>
    </cfRule>
  </conditionalFormatting>
  <conditionalFormatting sqref="E14:O14 O4:O13 W14">
    <cfRule type="expression" dxfId="25" priority="6">
      <formula>$C$2 &lt; 10</formula>
    </cfRule>
  </conditionalFormatting>
  <conditionalFormatting sqref="E13:N13 N4:N12 W13">
    <cfRule type="expression" dxfId="24" priority="5">
      <formula>$C$2 &lt; 9</formula>
    </cfRule>
  </conditionalFormatting>
  <conditionalFormatting sqref="E17:R17 R4:R16 W17">
    <cfRule type="expression" dxfId="23" priority="9">
      <formula>$C$2 &lt; 13</formula>
    </cfRule>
  </conditionalFormatting>
  <conditionalFormatting sqref="E12:M12 M4:M11 W12">
    <cfRule type="expression" dxfId="22" priority="4">
      <formula>$C$2 &lt;8</formula>
    </cfRule>
  </conditionalFormatting>
  <conditionalFormatting sqref="E11:L11 L4:L10 W11">
    <cfRule type="expression" dxfId="21" priority="3">
      <formula>$C$2 &lt; 7</formula>
    </cfRule>
  </conditionalFormatting>
  <conditionalFormatting sqref="E10:K10 K4:K9 W10">
    <cfRule type="expression" dxfId="20" priority="2">
      <formula>$C$2 &lt; 6</formula>
    </cfRule>
  </conditionalFormatting>
  <conditionalFormatting sqref="E9:J9 J4:J8 W9">
    <cfRule type="expression" dxfId="19" priority="1">
      <formula>$C$2 &lt; 5</formula>
    </cfRule>
  </conditionalFormatting>
  <dataValidations count="2">
    <dataValidation type="list" allowBlank="1" showInputMessage="1" showErrorMessage="1" promptTitle="Relative Importance" sqref="T18 S17:T17 R16:T16 Q15:T15 P14:T14 O13:T13 N12:T12 M11:T11 L10:T10 K9:T9 J8:T8 I7:T7 H6:T6 G5:T5" xr:uid="{00000000-0002-0000-0100-000000000000}">
      <formula1>$C$5:$C$21</formula1>
    </dataValidation>
    <dataValidation type="list" allowBlank="1" showInputMessage="1" showErrorMessage="1" sqref="C2" xr:uid="{00000000-0002-0000-0100-000001000000}">
      <formula1>$E$27:$E$39</formula1>
    </dataValidation>
  </dataValidations>
  <hyperlinks>
    <hyperlink ref="B40" r:id="rId1" xr:uid="{00000000-0004-0000-0100-000000000000}"/>
  </hyperlinks>
  <pageMargins left="0.7" right="0.7" top="0.75" bottom="0.75" header="0.3" footer="0.3"/>
  <pageSetup paperSize="9" orientation="portrait" r:id="rId2"/>
  <ignoredErrors>
    <ignoredError sqref="S39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1"/>
  <sheetViews>
    <sheetView tabSelected="1" topLeftCell="N16" zoomScaleNormal="100" workbookViewId="0">
      <selection activeCell="I5" sqref="I5"/>
    </sheetView>
  </sheetViews>
  <sheetFormatPr defaultRowHeight="14.4" x14ac:dyDescent="0.3"/>
  <cols>
    <col min="2" max="2" width="36.21875" customWidth="1"/>
    <col min="3" max="3" width="7.109375" customWidth="1"/>
    <col min="5" max="5" width="29" bestFit="1" customWidth="1"/>
    <col min="6" max="6" width="17.21875" bestFit="1" customWidth="1"/>
    <col min="7" max="14" width="15.77734375" bestFit="1" customWidth="1"/>
    <col min="15" max="20" width="16.77734375" bestFit="1" customWidth="1"/>
    <col min="21" max="22" width="12.88671875" customWidth="1"/>
    <col min="24" max="24" width="9.109375" style="1"/>
    <col min="25" max="25" width="21.5546875" customWidth="1"/>
    <col min="26" max="26" width="11.6640625" customWidth="1"/>
    <col min="27" max="27" width="12.6640625" bestFit="1" customWidth="1"/>
    <col min="29" max="29" width="9.109375" style="66"/>
  </cols>
  <sheetData>
    <row r="1" spans="1:27" ht="16.2" thickBo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.600000000000001" thickBot="1" x14ac:dyDescent="0.4">
      <c r="A2" s="4"/>
      <c r="B2" s="49" t="s">
        <v>32</v>
      </c>
      <c r="C2" s="50">
        <v>4</v>
      </c>
      <c r="D2" s="51" t="s">
        <v>29</v>
      </c>
      <c r="E2" s="4"/>
      <c r="F2" s="77" t="s">
        <v>52</v>
      </c>
      <c r="G2" s="78"/>
      <c r="H2" s="78"/>
      <c r="I2" s="78"/>
      <c r="J2" s="78"/>
      <c r="K2" s="7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4"/>
      <c r="Z2" s="4"/>
      <c r="AA2" s="4"/>
    </row>
    <row r="3" spans="1:27" ht="16.2" thickBot="1" x14ac:dyDescent="0.35">
      <c r="A3" s="4"/>
      <c r="B3" s="4"/>
      <c r="C3" s="4"/>
      <c r="D3" s="4"/>
      <c r="E3" s="6" t="s">
        <v>27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  <c r="AA3" s="4"/>
    </row>
    <row r="4" spans="1:27" ht="16.2" thickBot="1" x14ac:dyDescent="0.35">
      <c r="A4" s="4"/>
      <c r="B4" s="75" t="s">
        <v>25</v>
      </c>
      <c r="C4" s="76"/>
      <c r="D4" s="4"/>
      <c r="E4" s="7"/>
      <c r="F4" s="8" t="str">
        <f>E5</f>
        <v>Weight</v>
      </c>
      <c r="G4" s="9" t="str">
        <f>E6</f>
        <v>Robustness</v>
      </c>
      <c r="H4" s="9" t="str">
        <f>E7</f>
        <v>Appearance</v>
      </c>
      <c r="I4" s="9" t="str">
        <f>E8</f>
        <v>Comfort</v>
      </c>
      <c r="J4" s="9" t="str">
        <f>E9</f>
        <v>Requirement 5</v>
      </c>
      <c r="K4" s="9" t="str">
        <f>E10</f>
        <v>Requirement 6</v>
      </c>
      <c r="L4" s="9" t="str">
        <f>E11</f>
        <v>Requirement 7</v>
      </c>
      <c r="M4" s="9" t="str">
        <f>E12</f>
        <v>Requirement 8</v>
      </c>
      <c r="N4" s="9" t="str">
        <f>E13</f>
        <v>Requirement 9</v>
      </c>
      <c r="O4" s="9" t="str">
        <f>E14</f>
        <v>Requirement 10</v>
      </c>
      <c r="P4" s="9" t="str">
        <f>E15</f>
        <v>Requirement 11</v>
      </c>
      <c r="Q4" s="9" t="str">
        <f>E16</f>
        <v>Requirement 12</v>
      </c>
      <c r="R4" s="9" t="str">
        <f>E17</f>
        <v>Requirement 13</v>
      </c>
      <c r="S4" s="9" t="str">
        <f>E18</f>
        <v>Requirement 14</v>
      </c>
      <c r="T4" s="10" t="str">
        <f>E19</f>
        <v>Requirement 15</v>
      </c>
      <c r="U4" s="4"/>
      <c r="V4" s="11" t="s">
        <v>7</v>
      </c>
      <c r="W4" s="4"/>
      <c r="X4" s="88" t="s">
        <v>28</v>
      </c>
      <c r="Y4" s="81"/>
      <c r="Z4" s="4"/>
      <c r="AA4" s="4"/>
    </row>
    <row r="5" spans="1:27" ht="15.6" x14ac:dyDescent="0.3">
      <c r="A5" s="4"/>
      <c r="B5" s="12" t="s">
        <v>23</v>
      </c>
      <c r="C5" s="13">
        <f>1/9</f>
        <v>0.1111111111111111</v>
      </c>
      <c r="D5" s="4"/>
      <c r="E5" s="42" t="s">
        <v>33</v>
      </c>
      <c r="F5" s="14">
        <v>1</v>
      </c>
      <c r="G5" s="45">
        <v>0.5</v>
      </c>
      <c r="H5" s="45">
        <v>3</v>
      </c>
      <c r="I5" s="45">
        <v>0.25</v>
      </c>
      <c r="J5" s="45">
        <v>1</v>
      </c>
      <c r="K5" s="45">
        <v>1</v>
      </c>
      <c r="L5" s="45">
        <v>1</v>
      </c>
      <c r="M5" s="45">
        <v>1</v>
      </c>
      <c r="N5" s="45">
        <v>1</v>
      </c>
      <c r="O5" s="45">
        <v>1</v>
      </c>
      <c r="P5" s="45">
        <v>1</v>
      </c>
      <c r="Q5" s="45">
        <v>1</v>
      </c>
      <c r="R5" s="45">
        <v>1</v>
      </c>
      <c r="S5" s="45">
        <v>1</v>
      </c>
      <c r="T5" s="46">
        <v>1</v>
      </c>
      <c r="U5" s="4"/>
      <c r="V5" s="15">
        <f>V25</f>
        <v>0.16321178821178819</v>
      </c>
      <c r="W5" s="16"/>
      <c r="X5" s="89" t="str">
        <f>IF(AA25&lt;0.1,"Consistency OK","Check your results")</f>
        <v>Consistency OK</v>
      </c>
      <c r="Y5" s="83"/>
      <c r="Z5" s="4"/>
      <c r="AA5" s="4"/>
    </row>
    <row r="6" spans="1:27" ht="16.2" thickBot="1" x14ac:dyDescent="0.35">
      <c r="A6" s="4"/>
      <c r="B6" s="17"/>
      <c r="C6" s="18">
        <f>1/8</f>
        <v>0.125</v>
      </c>
      <c r="D6" s="4"/>
      <c r="E6" s="43" t="s">
        <v>35</v>
      </c>
      <c r="F6" s="19">
        <f>1/G5</f>
        <v>2</v>
      </c>
      <c r="G6" s="20">
        <v>1</v>
      </c>
      <c r="H6" s="45">
        <v>6</v>
      </c>
      <c r="I6" s="45">
        <v>2</v>
      </c>
      <c r="J6" s="45">
        <v>1</v>
      </c>
      <c r="K6" s="45">
        <v>1</v>
      </c>
      <c r="L6" s="45">
        <v>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  <c r="S6" s="45">
        <v>1</v>
      </c>
      <c r="T6" s="46">
        <v>1</v>
      </c>
      <c r="U6" s="4"/>
      <c r="V6" s="15">
        <f>V26</f>
        <v>0.43356643356643354</v>
      </c>
      <c r="W6" s="16"/>
      <c r="X6" s="90">
        <f>AA25</f>
        <v>9.0295506962173713E-2</v>
      </c>
      <c r="Y6" s="85"/>
      <c r="Z6" s="4"/>
      <c r="AA6" s="4"/>
    </row>
    <row r="7" spans="1:27" ht="15.6" x14ac:dyDescent="0.3">
      <c r="A7" s="4"/>
      <c r="B7" s="17" t="s">
        <v>24</v>
      </c>
      <c r="C7" s="18">
        <f>1/7</f>
        <v>0.14285714285714285</v>
      </c>
      <c r="D7" s="4"/>
      <c r="E7" s="43" t="s">
        <v>34</v>
      </c>
      <c r="F7" s="19">
        <f>1/H5</f>
        <v>0.33333333333333331</v>
      </c>
      <c r="G7" s="20">
        <f>1/H6</f>
        <v>0.16666666666666666</v>
      </c>
      <c r="H7" s="20">
        <v>1</v>
      </c>
      <c r="I7" s="45">
        <v>0.25</v>
      </c>
      <c r="J7" s="45">
        <v>1</v>
      </c>
      <c r="K7" s="45">
        <v>1</v>
      </c>
      <c r="L7" s="45">
        <v>1</v>
      </c>
      <c r="M7" s="45">
        <v>1</v>
      </c>
      <c r="N7" s="45">
        <v>1</v>
      </c>
      <c r="O7" s="45">
        <v>1</v>
      </c>
      <c r="P7" s="45">
        <v>1</v>
      </c>
      <c r="Q7" s="45">
        <v>1</v>
      </c>
      <c r="R7" s="45">
        <v>1</v>
      </c>
      <c r="S7" s="45">
        <v>1</v>
      </c>
      <c r="T7" s="46">
        <v>1</v>
      </c>
      <c r="U7" s="4"/>
      <c r="V7" s="15">
        <f>V27</f>
        <v>6.6308691308691298E-2</v>
      </c>
      <c r="W7" s="16"/>
      <c r="X7" s="4"/>
      <c r="Y7" s="2"/>
      <c r="Z7" s="4"/>
      <c r="AA7" s="4"/>
    </row>
    <row r="8" spans="1:27" ht="15.6" x14ac:dyDescent="0.3">
      <c r="A8" s="4"/>
      <c r="B8" s="17"/>
      <c r="C8" s="18">
        <f>1/6</f>
        <v>0.16666666666666666</v>
      </c>
      <c r="D8" s="4"/>
      <c r="E8" s="43" t="s">
        <v>50</v>
      </c>
      <c r="F8" s="19">
        <f>1/I5</f>
        <v>4</v>
      </c>
      <c r="G8" s="20">
        <f>1/I6</f>
        <v>0.5</v>
      </c>
      <c r="H8" s="20">
        <f>1/I7</f>
        <v>4</v>
      </c>
      <c r="I8" s="20">
        <v>1</v>
      </c>
      <c r="J8" s="45">
        <v>1</v>
      </c>
      <c r="K8" s="45">
        <v>1</v>
      </c>
      <c r="L8" s="45">
        <v>1</v>
      </c>
      <c r="M8" s="45">
        <v>1</v>
      </c>
      <c r="N8" s="45">
        <v>1</v>
      </c>
      <c r="O8" s="45">
        <v>1</v>
      </c>
      <c r="P8" s="45">
        <v>1</v>
      </c>
      <c r="Q8" s="45">
        <v>1</v>
      </c>
      <c r="R8" s="45">
        <v>1</v>
      </c>
      <c r="S8" s="45">
        <v>1</v>
      </c>
      <c r="T8" s="46">
        <v>1</v>
      </c>
      <c r="U8" s="4"/>
      <c r="V8" s="15">
        <f>V28</f>
        <v>0.33691308691308686</v>
      </c>
      <c r="W8" s="16"/>
      <c r="X8" s="4"/>
      <c r="Y8" s="2"/>
      <c r="Z8" s="4"/>
      <c r="AA8" s="4"/>
    </row>
    <row r="9" spans="1:27" ht="15.6" x14ac:dyDescent="0.3">
      <c r="A9" s="4"/>
      <c r="B9" s="17" t="s">
        <v>18</v>
      </c>
      <c r="C9" s="18">
        <f>1/5</f>
        <v>0.2</v>
      </c>
      <c r="D9" s="4"/>
      <c r="E9" s="43" t="s">
        <v>1</v>
      </c>
      <c r="F9" s="19">
        <f>1/J5</f>
        <v>1</v>
      </c>
      <c r="G9" s="20">
        <f>1/J6</f>
        <v>1</v>
      </c>
      <c r="H9" s="20">
        <f>1/J7</f>
        <v>1</v>
      </c>
      <c r="I9" s="20">
        <f>1/J8</f>
        <v>1</v>
      </c>
      <c r="J9" s="20">
        <v>1</v>
      </c>
      <c r="K9" s="45">
        <v>1</v>
      </c>
      <c r="L9" s="45">
        <v>1</v>
      </c>
      <c r="M9" s="45">
        <v>1</v>
      </c>
      <c r="N9" s="45">
        <v>1</v>
      </c>
      <c r="O9" s="45">
        <v>1</v>
      </c>
      <c r="P9" s="45">
        <v>1</v>
      </c>
      <c r="Q9" s="45">
        <v>1</v>
      </c>
      <c r="R9" s="45">
        <v>1</v>
      </c>
      <c r="S9" s="45">
        <v>1</v>
      </c>
      <c r="T9" s="46">
        <v>1</v>
      </c>
      <c r="U9" s="4"/>
      <c r="V9" s="15">
        <f>V29</f>
        <v>0</v>
      </c>
      <c r="W9" s="16"/>
      <c r="X9" s="4"/>
      <c r="Y9" s="2"/>
      <c r="Z9" s="4"/>
      <c r="AA9" s="4"/>
    </row>
    <row r="10" spans="1:27" ht="15.6" x14ac:dyDescent="0.3">
      <c r="A10" s="4"/>
      <c r="B10" s="17"/>
      <c r="C10" s="18">
        <f>1/4</f>
        <v>0.25</v>
      </c>
      <c r="D10" s="4"/>
      <c r="E10" s="43" t="s">
        <v>2</v>
      </c>
      <c r="F10" s="19">
        <f>1/K5</f>
        <v>1</v>
      </c>
      <c r="G10" s="20">
        <f>1/K6</f>
        <v>1</v>
      </c>
      <c r="H10" s="20">
        <f>1/K7</f>
        <v>1</v>
      </c>
      <c r="I10" s="20">
        <f>1/K8</f>
        <v>1</v>
      </c>
      <c r="J10" s="20">
        <f>1/K9</f>
        <v>1</v>
      </c>
      <c r="K10" s="20">
        <v>1</v>
      </c>
      <c r="L10" s="45">
        <v>1</v>
      </c>
      <c r="M10" s="45">
        <v>1</v>
      </c>
      <c r="N10" s="45">
        <v>1</v>
      </c>
      <c r="O10" s="45">
        <v>1</v>
      </c>
      <c r="P10" s="45">
        <v>1</v>
      </c>
      <c r="Q10" s="45">
        <v>1</v>
      </c>
      <c r="R10" s="45">
        <v>1</v>
      </c>
      <c r="S10" s="45">
        <v>1</v>
      </c>
      <c r="T10" s="46">
        <v>1</v>
      </c>
      <c r="U10" s="4"/>
      <c r="V10" s="15">
        <f t="shared" ref="V10:V19" si="0">V30</f>
        <v>0</v>
      </c>
      <c r="W10" s="16"/>
      <c r="X10" s="4"/>
      <c r="Y10" s="2"/>
      <c r="Z10" s="4"/>
      <c r="AA10" s="4"/>
    </row>
    <row r="11" spans="1:27" ht="15.6" x14ac:dyDescent="0.3">
      <c r="A11" s="4"/>
      <c r="B11" s="17" t="s">
        <v>20</v>
      </c>
      <c r="C11" s="18">
        <f>1/3</f>
        <v>0.33333333333333331</v>
      </c>
      <c r="D11" s="4"/>
      <c r="E11" s="43" t="s">
        <v>3</v>
      </c>
      <c r="F11" s="19">
        <f>1/L5</f>
        <v>1</v>
      </c>
      <c r="G11" s="20">
        <f>1/L6</f>
        <v>1</v>
      </c>
      <c r="H11" s="20">
        <f>1/L7</f>
        <v>1</v>
      </c>
      <c r="I11" s="20">
        <f>1/L8</f>
        <v>1</v>
      </c>
      <c r="J11" s="20">
        <f>1/L9</f>
        <v>1</v>
      </c>
      <c r="K11" s="20">
        <f>1/L10</f>
        <v>1</v>
      </c>
      <c r="L11" s="20">
        <v>1</v>
      </c>
      <c r="M11" s="45">
        <v>1</v>
      </c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5">
        <v>1</v>
      </c>
      <c r="T11" s="46">
        <v>1</v>
      </c>
      <c r="U11" s="4"/>
      <c r="V11" s="15">
        <f t="shared" si="0"/>
        <v>0</v>
      </c>
      <c r="W11" s="16"/>
      <c r="X11" s="4"/>
      <c r="Y11" s="2"/>
      <c r="Z11" s="4"/>
      <c r="AA11" s="4"/>
    </row>
    <row r="12" spans="1:27" ht="15.6" x14ac:dyDescent="0.3">
      <c r="A12" s="4"/>
      <c r="B12" s="17"/>
      <c r="C12" s="18">
        <f>1/2</f>
        <v>0.5</v>
      </c>
      <c r="D12" s="4"/>
      <c r="E12" s="43" t="s">
        <v>4</v>
      </c>
      <c r="F12" s="19">
        <f>1/M5</f>
        <v>1</v>
      </c>
      <c r="G12" s="20">
        <f>1/M6</f>
        <v>1</v>
      </c>
      <c r="H12" s="20">
        <f>1/M7</f>
        <v>1</v>
      </c>
      <c r="I12" s="20">
        <f>1/M8</f>
        <v>1</v>
      </c>
      <c r="J12" s="20">
        <f>1/M9</f>
        <v>1</v>
      </c>
      <c r="K12" s="20">
        <f>1/M10</f>
        <v>1</v>
      </c>
      <c r="L12" s="20">
        <f>1/M11</f>
        <v>1</v>
      </c>
      <c r="M12" s="20">
        <v>1</v>
      </c>
      <c r="N12" s="45">
        <v>1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6">
        <v>1</v>
      </c>
      <c r="U12" s="4"/>
      <c r="V12" s="15">
        <f t="shared" si="0"/>
        <v>0</v>
      </c>
      <c r="W12" s="16"/>
      <c r="X12" s="4"/>
      <c r="Y12" s="2"/>
      <c r="Z12" s="4"/>
      <c r="AA12" s="4"/>
    </row>
    <row r="13" spans="1:27" ht="15.6" x14ac:dyDescent="0.3">
      <c r="A13" s="4"/>
      <c r="B13" s="21" t="s">
        <v>16</v>
      </c>
      <c r="C13" s="22">
        <v>1</v>
      </c>
      <c r="D13" s="4"/>
      <c r="E13" s="43" t="s">
        <v>5</v>
      </c>
      <c r="F13" s="19">
        <f>1/N5</f>
        <v>1</v>
      </c>
      <c r="G13" s="20">
        <f>1/N6</f>
        <v>1</v>
      </c>
      <c r="H13" s="20">
        <f>1/N7</f>
        <v>1</v>
      </c>
      <c r="I13" s="20">
        <f>1/N8</f>
        <v>1</v>
      </c>
      <c r="J13" s="20">
        <f>1/N9</f>
        <v>1</v>
      </c>
      <c r="K13" s="20">
        <f>1/N10</f>
        <v>1</v>
      </c>
      <c r="L13" s="20">
        <f>1/N11</f>
        <v>1</v>
      </c>
      <c r="M13" s="20">
        <f>1/N12</f>
        <v>1</v>
      </c>
      <c r="N13" s="20">
        <v>1</v>
      </c>
      <c r="O13" s="45">
        <v>1</v>
      </c>
      <c r="P13" s="45">
        <v>1</v>
      </c>
      <c r="Q13" s="45">
        <v>1</v>
      </c>
      <c r="R13" s="45">
        <v>1</v>
      </c>
      <c r="S13" s="45">
        <v>1</v>
      </c>
      <c r="T13" s="46">
        <v>1</v>
      </c>
      <c r="U13" s="4"/>
      <c r="V13" s="15">
        <f t="shared" si="0"/>
        <v>0</v>
      </c>
      <c r="W13" s="16"/>
      <c r="X13" s="4"/>
      <c r="Y13" s="2"/>
      <c r="Z13" s="4"/>
      <c r="AA13" s="4"/>
    </row>
    <row r="14" spans="1:27" ht="15.6" x14ac:dyDescent="0.3">
      <c r="A14" s="4"/>
      <c r="B14" s="17"/>
      <c r="C14" s="18">
        <v>2</v>
      </c>
      <c r="D14" s="4"/>
      <c r="E14" s="43" t="s">
        <v>6</v>
      </c>
      <c r="F14" s="19">
        <f>1/O5</f>
        <v>1</v>
      </c>
      <c r="G14" s="20">
        <f>1/O6</f>
        <v>1</v>
      </c>
      <c r="H14" s="20">
        <f>1/O7</f>
        <v>1</v>
      </c>
      <c r="I14" s="20">
        <f>1/O8</f>
        <v>1</v>
      </c>
      <c r="J14" s="20">
        <f>1/O9</f>
        <v>1</v>
      </c>
      <c r="K14" s="20">
        <f>1/O10</f>
        <v>1</v>
      </c>
      <c r="L14" s="20">
        <f>1/O11</f>
        <v>1</v>
      </c>
      <c r="M14" s="20">
        <f>1/O12</f>
        <v>1</v>
      </c>
      <c r="N14" s="20">
        <f>1/O13</f>
        <v>1</v>
      </c>
      <c r="O14" s="20">
        <v>1</v>
      </c>
      <c r="P14" s="45">
        <v>1</v>
      </c>
      <c r="Q14" s="45">
        <v>1</v>
      </c>
      <c r="R14" s="45">
        <v>1</v>
      </c>
      <c r="S14" s="45">
        <v>1</v>
      </c>
      <c r="T14" s="46">
        <v>1</v>
      </c>
      <c r="U14" s="4"/>
      <c r="V14" s="15">
        <f t="shared" si="0"/>
        <v>0</v>
      </c>
      <c r="W14" s="4"/>
      <c r="X14" s="4"/>
      <c r="Y14" s="2"/>
      <c r="Z14" s="4"/>
      <c r="AA14" s="4"/>
    </row>
    <row r="15" spans="1:27" ht="15.6" x14ac:dyDescent="0.3">
      <c r="A15" s="4"/>
      <c r="B15" s="17" t="s">
        <v>19</v>
      </c>
      <c r="C15" s="18">
        <v>3</v>
      </c>
      <c r="D15" s="4"/>
      <c r="E15" s="43" t="s">
        <v>11</v>
      </c>
      <c r="F15" s="19">
        <f>1/P5</f>
        <v>1</v>
      </c>
      <c r="G15" s="20">
        <f>1/P6</f>
        <v>1</v>
      </c>
      <c r="H15" s="20">
        <f>1/P7</f>
        <v>1</v>
      </c>
      <c r="I15" s="20">
        <f>1/P8</f>
        <v>1</v>
      </c>
      <c r="J15" s="20">
        <f>1/P9</f>
        <v>1</v>
      </c>
      <c r="K15" s="20">
        <f>1/P10</f>
        <v>1</v>
      </c>
      <c r="L15" s="20">
        <f>1/P11</f>
        <v>1</v>
      </c>
      <c r="M15" s="20">
        <f>1/P12</f>
        <v>1</v>
      </c>
      <c r="N15" s="20">
        <f>1/P13</f>
        <v>1</v>
      </c>
      <c r="O15" s="20">
        <f>1/P14</f>
        <v>1</v>
      </c>
      <c r="P15" s="20">
        <v>1</v>
      </c>
      <c r="Q15" s="45">
        <v>1</v>
      </c>
      <c r="R15" s="45">
        <v>1</v>
      </c>
      <c r="S15" s="45">
        <v>1</v>
      </c>
      <c r="T15" s="46">
        <v>1</v>
      </c>
      <c r="U15" s="4"/>
      <c r="V15" s="15">
        <f t="shared" si="0"/>
        <v>0</v>
      </c>
      <c r="W15" s="4"/>
      <c r="X15" s="4"/>
      <c r="Y15" s="2"/>
      <c r="Z15" s="4"/>
      <c r="AA15" s="4"/>
    </row>
    <row r="16" spans="1:27" ht="15.6" x14ac:dyDescent="0.3">
      <c r="A16" s="4"/>
      <c r="B16" s="17"/>
      <c r="C16" s="18">
        <v>4</v>
      </c>
      <c r="D16" s="4"/>
      <c r="E16" s="43" t="s">
        <v>12</v>
      </c>
      <c r="F16" s="19">
        <f>1/Q5</f>
        <v>1</v>
      </c>
      <c r="G16" s="20">
        <f>1/Q6</f>
        <v>1</v>
      </c>
      <c r="H16" s="20">
        <f>1/Q7</f>
        <v>1</v>
      </c>
      <c r="I16" s="20">
        <f>1/Q8</f>
        <v>1</v>
      </c>
      <c r="J16" s="20">
        <f>1/Q9</f>
        <v>1</v>
      </c>
      <c r="K16" s="20">
        <f>1/Q10</f>
        <v>1</v>
      </c>
      <c r="L16" s="20">
        <f>1/Q11</f>
        <v>1</v>
      </c>
      <c r="M16" s="20">
        <f>1/Q12</f>
        <v>1</v>
      </c>
      <c r="N16" s="20">
        <f>1/Q13</f>
        <v>1</v>
      </c>
      <c r="O16" s="20">
        <f>1/Q14</f>
        <v>1</v>
      </c>
      <c r="P16" s="20">
        <f>1/Q15</f>
        <v>1</v>
      </c>
      <c r="Q16" s="20">
        <v>1</v>
      </c>
      <c r="R16" s="45">
        <v>1</v>
      </c>
      <c r="S16" s="45">
        <v>1</v>
      </c>
      <c r="T16" s="46">
        <v>1</v>
      </c>
      <c r="U16" s="4"/>
      <c r="V16" s="15">
        <f t="shared" si="0"/>
        <v>0</v>
      </c>
      <c r="W16" s="4"/>
      <c r="X16" s="4"/>
      <c r="Y16" s="2"/>
      <c r="Z16" s="4"/>
      <c r="AA16" s="4"/>
    </row>
    <row r="17" spans="1:27" ht="15.6" x14ac:dyDescent="0.3">
      <c r="A17" s="4"/>
      <c r="B17" s="17" t="s">
        <v>17</v>
      </c>
      <c r="C17" s="18">
        <v>5</v>
      </c>
      <c r="D17" s="4"/>
      <c r="E17" s="43" t="s">
        <v>13</v>
      </c>
      <c r="F17" s="19">
        <f>1/R5</f>
        <v>1</v>
      </c>
      <c r="G17" s="20">
        <f>1/R6</f>
        <v>1</v>
      </c>
      <c r="H17" s="20">
        <f>1/R7</f>
        <v>1</v>
      </c>
      <c r="I17" s="20">
        <f>1/R8</f>
        <v>1</v>
      </c>
      <c r="J17" s="20">
        <f>1/R9</f>
        <v>1</v>
      </c>
      <c r="K17" s="20">
        <f>1/R10</f>
        <v>1</v>
      </c>
      <c r="L17" s="20">
        <f>1/R11</f>
        <v>1</v>
      </c>
      <c r="M17" s="20">
        <f>1/R12</f>
        <v>1</v>
      </c>
      <c r="N17" s="20">
        <f>1/R13</f>
        <v>1</v>
      </c>
      <c r="O17" s="20">
        <f>1/R14</f>
        <v>1</v>
      </c>
      <c r="P17" s="20">
        <f>1/R15</f>
        <v>1</v>
      </c>
      <c r="Q17" s="20">
        <f>1/R16</f>
        <v>1</v>
      </c>
      <c r="R17" s="20">
        <v>1</v>
      </c>
      <c r="S17" s="45">
        <v>1</v>
      </c>
      <c r="T17" s="46">
        <v>1</v>
      </c>
      <c r="U17" s="4"/>
      <c r="V17" s="15">
        <f t="shared" si="0"/>
        <v>0</v>
      </c>
      <c r="W17" s="4"/>
      <c r="X17" s="4"/>
      <c r="Y17" s="2"/>
      <c r="Z17" s="4"/>
      <c r="AA17" s="4"/>
    </row>
    <row r="18" spans="1:27" ht="15.6" x14ac:dyDescent="0.3">
      <c r="A18" s="4"/>
      <c r="B18" s="17"/>
      <c r="C18" s="18">
        <v>6</v>
      </c>
      <c r="D18" s="4"/>
      <c r="E18" s="43" t="s">
        <v>14</v>
      </c>
      <c r="F18" s="19">
        <f>1/S5</f>
        <v>1</v>
      </c>
      <c r="G18" s="20">
        <f>1/S6</f>
        <v>1</v>
      </c>
      <c r="H18" s="20">
        <f>1/S7</f>
        <v>1</v>
      </c>
      <c r="I18" s="20">
        <f>1/S8</f>
        <v>1</v>
      </c>
      <c r="J18" s="20">
        <f>1/S9</f>
        <v>1</v>
      </c>
      <c r="K18" s="20">
        <f>1/S10</f>
        <v>1</v>
      </c>
      <c r="L18" s="20">
        <f>1/S11</f>
        <v>1</v>
      </c>
      <c r="M18" s="20">
        <f>1/S12</f>
        <v>1</v>
      </c>
      <c r="N18" s="20">
        <f>1/S13</f>
        <v>1</v>
      </c>
      <c r="O18" s="20">
        <f>1/S14</f>
        <v>1</v>
      </c>
      <c r="P18" s="20">
        <f>1/S15</f>
        <v>1</v>
      </c>
      <c r="Q18" s="20">
        <f>1/S16</f>
        <v>1</v>
      </c>
      <c r="R18" s="20">
        <f>1/S17</f>
        <v>1</v>
      </c>
      <c r="S18" s="20">
        <v>1</v>
      </c>
      <c r="T18" s="46">
        <v>1</v>
      </c>
      <c r="U18" s="4"/>
      <c r="V18" s="15">
        <f t="shared" si="0"/>
        <v>0</v>
      </c>
      <c r="W18" s="4"/>
      <c r="X18" s="4"/>
      <c r="Y18" s="2"/>
      <c r="Z18" s="4"/>
      <c r="AA18" s="4"/>
    </row>
    <row r="19" spans="1:27" ht="16.2" thickBot="1" x14ac:dyDescent="0.35">
      <c r="A19" s="4"/>
      <c r="B19" s="17" t="s">
        <v>21</v>
      </c>
      <c r="C19" s="18">
        <v>7</v>
      </c>
      <c r="D19" s="4"/>
      <c r="E19" s="44" t="s">
        <v>15</v>
      </c>
      <c r="F19" s="23">
        <f>1/T5</f>
        <v>1</v>
      </c>
      <c r="G19" s="24">
        <f>1/T6</f>
        <v>1</v>
      </c>
      <c r="H19" s="24">
        <f>1/T7</f>
        <v>1</v>
      </c>
      <c r="I19" s="24">
        <f>1/T8</f>
        <v>1</v>
      </c>
      <c r="J19" s="24">
        <f>1/T9</f>
        <v>1</v>
      </c>
      <c r="K19" s="24">
        <f>1/T10</f>
        <v>1</v>
      </c>
      <c r="L19" s="24">
        <f>1/T11</f>
        <v>1</v>
      </c>
      <c r="M19" s="24">
        <f>1/T12</f>
        <v>1</v>
      </c>
      <c r="N19" s="24">
        <f>1/T13</f>
        <v>1</v>
      </c>
      <c r="O19" s="24">
        <f>1/T14</f>
        <v>1</v>
      </c>
      <c r="P19" s="24">
        <f>1/T15</f>
        <v>1</v>
      </c>
      <c r="Q19" s="24">
        <f>1/T16</f>
        <v>1</v>
      </c>
      <c r="R19" s="24">
        <f>1/T17</f>
        <v>1</v>
      </c>
      <c r="S19" s="24">
        <f>1/T18</f>
        <v>1</v>
      </c>
      <c r="T19" s="25">
        <v>1</v>
      </c>
      <c r="U19" s="4"/>
      <c r="V19" s="15">
        <f t="shared" si="0"/>
        <v>0</v>
      </c>
      <c r="W19" s="4"/>
      <c r="X19" s="4"/>
      <c r="Y19" s="2"/>
      <c r="Z19" s="4"/>
      <c r="AA19" s="4"/>
    </row>
    <row r="20" spans="1:27" ht="15.6" x14ac:dyDescent="0.3">
      <c r="A20" s="4"/>
      <c r="B20" s="17"/>
      <c r="C20" s="18">
        <v>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  <c r="Y20" s="4"/>
      <c r="Z20" s="4"/>
      <c r="AA20" s="4"/>
    </row>
    <row r="21" spans="1:27" ht="16.2" thickBot="1" x14ac:dyDescent="0.35">
      <c r="A21" s="4"/>
      <c r="B21" s="26" t="s">
        <v>22</v>
      </c>
      <c r="C21" s="27">
        <v>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5"/>
      <c r="Y21" s="4"/>
      <c r="Z21" s="4"/>
      <c r="AA21" s="4"/>
    </row>
    <row r="22" spans="1:27" ht="15.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  <c r="Y22" s="4"/>
      <c r="Z22" s="4"/>
      <c r="AA22" s="4"/>
    </row>
    <row r="23" spans="1:27" ht="15.6" x14ac:dyDescent="0.3">
      <c r="A23" s="4"/>
      <c r="B23" s="4"/>
      <c r="C23" s="4"/>
      <c r="D23" s="4"/>
      <c r="E23" s="28" t="s">
        <v>8</v>
      </c>
      <c r="F23" s="29">
        <f xml:space="preserve"> SUM(F5:INDEX(F5:F19,$C$2))</f>
        <v>7.3333333333333339</v>
      </c>
      <c r="G23" s="29">
        <f>SUM(G5:INDEX(G5:G19,$C$2))</f>
        <v>2.166666666666667</v>
      </c>
      <c r="H23" s="29">
        <f>SUM(H5:INDEX(H5:H19,$C$2))</f>
        <v>14</v>
      </c>
      <c r="I23" s="29">
        <f>IF($C$2&gt;3, SUM(I5:INDEX(I5:I19,$C$2)),0)</f>
        <v>3.5</v>
      </c>
      <c r="J23" s="29">
        <f>IF($C$2&gt;4, SUM(J5:INDEX(J5:J19,$C$2)),0)</f>
        <v>0</v>
      </c>
      <c r="K23" s="29">
        <f>IF($C$2&gt;5, SUM(K5:INDEX(K5:K19,$C$2)),0)</f>
        <v>0</v>
      </c>
      <c r="L23" s="29">
        <f>IF($C$2&gt;6, SUM(L5:INDEX(L5:L19,$C$2)),0)</f>
        <v>0</v>
      </c>
      <c r="M23" s="29">
        <f>IF($C$2&gt;7, SUM(M5:INDEX(M5:M19,$C$2)),0)</f>
        <v>0</v>
      </c>
      <c r="N23" s="29">
        <f>IF($C$2&gt;8, SUM(N5:INDEX(N5:N19,$C$2)),0)</f>
        <v>0</v>
      </c>
      <c r="O23" s="29">
        <f>IF($C$2&gt;9, SUM(O5:INDEX(O5:O19,$C$2)),0)</f>
        <v>0</v>
      </c>
      <c r="P23" s="29">
        <f>IF($C$2&gt;10, SUM(P5:INDEX(P5:P19,$C$2)),0)</f>
        <v>0</v>
      </c>
      <c r="Q23" s="29">
        <f>IF($C$2&gt;11, SUM(Q5:INDEX(Q5:Q19,$C$2)),0)</f>
        <v>0</v>
      </c>
      <c r="R23" s="29">
        <f>IF($C$2&gt;12, SUM(R5:INDEX(R5:R19,$C$2)),0)</f>
        <v>0</v>
      </c>
      <c r="S23" s="29">
        <f>IF($C$2&gt;13, SUM(S5:INDEX(S5:S19,$C$2)),0)</f>
        <v>0</v>
      </c>
      <c r="T23" s="69">
        <f>IF($C$2&gt;14, SUM(T5:T19) - (15-$C$2),0)</f>
        <v>0</v>
      </c>
      <c r="U23" s="67"/>
      <c r="V23" s="67"/>
      <c r="W23" s="4"/>
      <c r="X23" s="5"/>
      <c r="Y23" s="4"/>
      <c r="Z23" s="4"/>
      <c r="AA23" s="4"/>
    </row>
    <row r="24" spans="1:27" ht="15.6" x14ac:dyDescent="0.3">
      <c r="A24" s="4"/>
      <c r="B24" s="4"/>
      <c r="C24" s="4"/>
      <c r="D24" s="4"/>
      <c r="E24" s="4"/>
      <c r="F24" s="6" t="s">
        <v>10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0" t="s">
        <v>51</v>
      </c>
      <c r="W24" s="4"/>
      <c r="X24" s="30" t="s">
        <v>0</v>
      </c>
      <c r="Y24" s="5" t="s">
        <v>31</v>
      </c>
      <c r="Z24" s="31" t="s">
        <v>30</v>
      </c>
      <c r="AA24" s="5" t="s">
        <v>9</v>
      </c>
    </row>
    <row r="25" spans="1:27" ht="15.6" x14ac:dyDescent="0.3">
      <c r="A25" s="4"/>
      <c r="B25" s="4"/>
      <c r="C25" s="4"/>
      <c r="D25" s="4"/>
      <c r="E25" s="4">
        <v>1</v>
      </c>
      <c r="F25" s="32">
        <f>F5/F23</f>
        <v>0.13636363636363635</v>
      </c>
      <c r="G25" s="33">
        <f>G5/G23</f>
        <v>0.23076923076923073</v>
      </c>
      <c r="H25" s="33">
        <f>H5/H23</f>
        <v>0.21428571428571427</v>
      </c>
      <c r="I25" s="33">
        <f t="shared" ref="I25:T39" si="1">IF(I$23 &gt; 0, I5/I$23,0)</f>
        <v>7.1428571428571425E-2</v>
      </c>
      <c r="J25" s="33">
        <f t="shared" si="1"/>
        <v>0</v>
      </c>
      <c r="K25" s="33">
        <f t="shared" si="1"/>
        <v>0</v>
      </c>
      <c r="L25" s="33">
        <f t="shared" si="1"/>
        <v>0</v>
      </c>
      <c r="M25" s="33">
        <f t="shared" si="1"/>
        <v>0</v>
      </c>
      <c r="N25" s="33">
        <f t="shared" si="1"/>
        <v>0</v>
      </c>
      <c r="O25" s="33">
        <f t="shared" si="1"/>
        <v>0</v>
      </c>
      <c r="P25" s="33">
        <f t="shared" si="1"/>
        <v>0</v>
      </c>
      <c r="Q25" s="33">
        <f t="shared" si="1"/>
        <v>0</v>
      </c>
      <c r="R25" s="33">
        <f>IF(R$23 &gt; 0, R5/R$23,0)</f>
        <v>0</v>
      </c>
      <c r="S25" s="33">
        <f>IF(S$23 &gt; 0, S5/S$23,0)</f>
        <v>0</v>
      </c>
      <c r="T25" s="34">
        <f>IF(T$23 &gt; 0, T5/T$23,0)</f>
        <v>0</v>
      </c>
      <c r="U25" s="36"/>
      <c r="V25" s="68">
        <f>SUM(F25:T25)/$C$2</f>
        <v>0.16321178821178819</v>
      </c>
      <c r="W25" s="4"/>
      <c r="X25" s="30">
        <f>$F$23*V25</f>
        <v>1.1968864468864469</v>
      </c>
      <c r="Y25" s="5">
        <f>SUM(X25:X39)</f>
        <v>4.243797868797869</v>
      </c>
      <c r="Z25" s="5">
        <f>(Y25-$C$2)/($C$2-1)</f>
        <v>8.1265956265956341E-2</v>
      </c>
      <c r="AA25" s="5">
        <f>Z25/AA27</f>
        <v>9.0295506962173713E-2</v>
      </c>
    </row>
    <row r="26" spans="1:27" ht="15.6" x14ac:dyDescent="0.3">
      <c r="A26" s="4"/>
      <c r="B26" s="4"/>
      <c r="C26" s="4"/>
      <c r="D26" s="4"/>
      <c r="E26" s="4">
        <v>2</v>
      </c>
      <c r="F26" s="35">
        <f>F6/F23</f>
        <v>0.27272727272727271</v>
      </c>
      <c r="G26" s="36">
        <f>G6/G23</f>
        <v>0.46153846153846145</v>
      </c>
      <c r="H26" s="36">
        <f>H6/H23</f>
        <v>0.42857142857142855</v>
      </c>
      <c r="I26" s="36">
        <f t="shared" si="1"/>
        <v>0.5714285714285714</v>
      </c>
      <c r="J26" s="36">
        <f t="shared" si="1"/>
        <v>0</v>
      </c>
      <c r="K26" s="36">
        <f t="shared" si="1"/>
        <v>0</v>
      </c>
      <c r="L26" s="36">
        <f t="shared" si="1"/>
        <v>0</v>
      </c>
      <c r="M26" s="36">
        <f t="shared" si="1"/>
        <v>0</v>
      </c>
      <c r="N26" s="36">
        <f t="shared" si="1"/>
        <v>0</v>
      </c>
      <c r="O26" s="36">
        <f t="shared" si="1"/>
        <v>0</v>
      </c>
      <c r="P26" s="36">
        <f t="shared" si="1"/>
        <v>0</v>
      </c>
      <c r="Q26" s="36">
        <f t="shared" si="1"/>
        <v>0</v>
      </c>
      <c r="R26" s="36">
        <f t="shared" si="1"/>
        <v>0</v>
      </c>
      <c r="S26" s="36">
        <f t="shared" si="1"/>
        <v>0</v>
      </c>
      <c r="T26" s="37">
        <f t="shared" si="1"/>
        <v>0</v>
      </c>
      <c r="U26" s="36"/>
      <c r="V26" s="68">
        <f t="shared" ref="V26:V39" si="2">SUM(F26:T26)/$C$2</f>
        <v>0.43356643356643354</v>
      </c>
      <c r="W26" s="4"/>
      <c r="X26" s="30">
        <f>$G$23*V26</f>
        <v>0.93939393939393945</v>
      </c>
      <c r="Y26" s="5"/>
      <c r="Z26" s="5" t="s">
        <v>26</v>
      </c>
      <c r="AA26" s="5"/>
    </row>
    <row r="27" spans="1:27" ht="15.6" x14ac:dyDescent="0.3">
      <c r="A27" s="4"/>
      <c r="B27" s="4"/>
      <c r="C27" s="4"/>
      <c r="D27" s="4"/>
      <c r="E27" s="4">
        <v>3</v>
      </c>
      <c r="F27" s="35">
        <f>F7/F23</f>
        <v>4.5454545454545449E-2</v>
      </c>
      <c r="G27" s="36">
        <f>G7/G23</f>
        <v>7.6923076923076913E-2</v>
      </c>
      <c r="H27" s="36">
        <f>H7/H23</f>
        <v>7.1428571428571425E-2</v>
      </c>
      <c r="I27" s="36">
        <f t="shared" si="1"/>
        <v>7.1428571428571425E-2</v>
      </c>
      <c r="J27" s="36">
        <f t="shared" si="1"/>
        <v>0</v>
      </c>
      <c r="K27" s="36">
        <f t="shared" si="1"/>
        <v>0</v>
      </c>
      <c r="L27" s="36">
        <f t="shared" si="1"/>
        <v>0</v>
      </c>
      <c r="M27" s="36">
        <f t="shared" si="1"/>
        <v>0</v>
      </c>
      <c r="N27" s="36">
        <f t="shared" si="1"/>
        <v>0</v>
      </c>
      <c r="O27" s="36">
        <f t="shared" si="1"/>
        <v>0</v>
      </c>
      <c r="P27" s="36">
        <f t="shared" si="1"/>
        <v>0</v>
      </c>
      <c r="Q27" s="36">
        <f t="shared" si="1"/>
        <v>0</v>
      </c>
      <c r="R27" s="36">
        <f t="shared" si="1"/>
        <v>0</v>
      </c>
      <c r="S27" s="36">
        <f t="shared" si="1"/>
        <v>0</v>
      </c>
      <c r="T27" s="37">
        <f t="shared" si="1"/>
        <v>0</v>
      </c>
      <c r="U27" s="36"/>
      <c r="V27" s="68">
        <f t="shared" si="2"/>
        <v>6.6308691308691298E-2</v>
      </c>
      <c r="W27" s="4"/>
      <c r="X27" s="30">
        <f>$H$23*V27</f>
        <v>0.92832167832167811</v>
      </c>
      <c r="Y27" s="38">
        <v>3</v>
      </c>
      <c r="Z27" s="5">
        <v>0.57999999999999996</v>
      </c>
      <c r="AA27" s="5">
        <f>INDEX(Y27:Z39,$C$2-2,2)</f>
        <v>0.9</v>
      </c>
    </row>
    <row r="28" spans="1:27" ht="15.6" x14ac:dyDescent="0.3">
      <c r="A28" s="4"/>
      <c r="B28" s="4"/>
      <c r="C28" s="4"/>
      <c r="D28" s="4"/>
      <c r="E28" s="4">
        <v>4</v>
      </c>
      <c r="F28" s="35">
        <f>IF(AND(F$23 &gt; 0, $C$2&gt;3),F8/F$23,0)</f>
        <v>0.54545454545454541</v>
      </c>
      <c r="G28" s="36">
        <f>IF(AND(G$23 &gt; 0, $C$2&gt;3),G8/G$23,0)</f>
        <v>0.23076923076923073</v>
      </c>
      <c r="H28" s="36">
        <f>IF(AND(H$23 &gt; 0, $C$2&gt;3),H8/H$23,0)</f>
        <v>0.2857142857142857</v>
      </c>
      <c r="I28" s="36">
        <f t="shared" si="1"/>
        <v>0.2857142857142857</v>
      </c>
      <c r="J28" s="36">
        <f t="shared" si="1"/>
        <v>0</v>
      </c>
      <c r="K28" s="36">
        <f t="shared" si="1"/>
        <v>0</v>
      </c>
      <c r="L28" s="36">
        <f t="shared" si="1"/>
        <v>0</v>
      </c>
      <c r="M28" s="36">
        <f t="shared" si="1"/>
        <v>0</v>
      </c>
      <c r="N28" s="36">
        <f t="shared" si="1"/>
        <v>0</v>
      </c>
      <c r="O28" s="36">
        <f t="shared" si="1"/>
        <v>0</v>
      </c>
      <c r="P28" s="36">
        <f t="shared" si="1"/>
        <v>0</v>
      </c>
      <c r="Q28" s="36">
        <f t="shared" si="1"/>
        <v>0</v>
      </c>
      <c r="R28" s="36">
        <f t="shared" si="1"/>
        <v>0</v>
      </c>
      <c r="S28" s="36">
        <f t="shared" si="1"/>
        <v>0</v>
      </c>
      <c r="T28" s="37">
        <f t="shared" si="1"/>
        <v>0</v>
      </c>
      <c r="U28" s="36"/>
      <c r="V28" s="68">
        <f t="shared" si="2"/>
        <v>0.33691308691308686</v>
      </c>
      <c r="W28" s="4"/>
      <c r="X28" s="30">
        <f>$I$23*V28</f>
        <v>1.1791958041958039</v>
      </c>
      <c r="Y28" s="38">
        <v>4</v>
      </c>
      <c r="Z28" s="5">
        <v>0.9</v>
      </c>
      <c r="AA28" s="5"/>
    </row>
    <row r="29" spans="1:27" ht="15.6" x14ac:dyDescent="0.3">
      <c r="A29" s="4"/>
      <c r="B29" s="4"/>
      <c r="C29" s="4"/>
      <c r="D29" s="4"/>
      <c r="E29" s="4">
        <v>5</v>
      </c>
      <c r="F29" s="35">
        <f>IF(AND(F$23 &gt; 0, $C$2&gt;4),F9/F$23,0)</f>
        <v>0</v>
      </c>
      <c r="G29" s="36">
        <f>IF(AND(G$23 &gt; 0, $C$2&gt;4),G9/G$23,0)</f>
        <v>0</v>
      </c>
      <c r="H29" s="36">
        <f>IF(AND(H$23 &gt; 0, $C$2&gt;4),H9/H$23,0)</f>
        <v>0</v>
      </c>
      <c r="I29" s="36">
        <f>IF(AND(I$23 &gt; 0, $C$2&gt;4),I9/I$23,0)</f>
        <v>0</v>
      </c>
      <c r="J29" s="36">
        <f t="shared" si="1"/>
        <v>0</v>
      </c>
      <c r="K29" s="36">
        <f t="shared" si="1"/>
        <v>0</v>
      </c>
      <c r="L29" s="36">
        <f t="shared" si="1"/>
        <v>0</v>
      </c>
      <c r="M29" s="36">
        <f t="shared" si="1"/>
        <v>0</v>
      </c>
      <c r="N29" s="36">
        <f t="shared" si="1"/>
        <v>0</v>
      </c>
      <c r="O29" s="36">
        <f t="shared" si="1"/>
        <v>0</v>
      </c>
      <c r="P29" s="36">
        <f t="shared" si="1"/>
        <v>0</v>
      </c>
      <c r="Q29" s="36">
        <f t="shared" si="1"/>
        <v>0</v>
      </c>
      <c r="R29" s="36">
        <f t="shared" si="1"/>
        <v>0</v>
      </c>
      <c r="S29" s="36">
        <f t="shared" si="1"/>
        <v>0</v>
      </c>
      <c r="T29" s="37">
        <f t="shared" si="1"/>
        <v>0</v>
      </c>
      <c r="U29" s="36"/>
      <c r="V29" s="68">
        <f t="shared" si="2"/>
        <v>0</v>
      </c>
      <c r="W29" s="4"/>
      <c r="X29" s="30">
        <f>$J$23*V29</f>
        <v>0</v>
      </c>
      <c r="Y29" s="38">
        <v>5</v>
      </c>
      <c r="Z29" s="5">
        <v>1.1200000000000001</v>
      </c>
      <c r="AA29" s="5"/>
    </row>
    <row r="30" spans="1:27" ht="15.6" x14ac:dyDescent="0.3">
      <c r="A30" s="4"/>
      <c r="B30" s="4"/>
      <c r="C30" s="4"/>
      <c r="D30" s="4"/>
      <c r="E30" s="4">
        <v>6</v>
      </c>
      <c r="F30" s="35">
        <f>IF(AND(F$23 &gt; 0, $C$2&gt;5),F10/F$23,0)</f>
        <v>0</v>
      </c>
      <c r="G30" s="36">
        <f>IF(AND(G$23 &gt; 0, $C$2&gt;5),G10/G$23,0)</f>
        <v>0</v>
      </c>
      <c r="H30" s="36">
        <f>IF(AND(H$23 &gt; 0, $C$2&gt;5),H10/H$23,0)</f>
        <v>0</v>
      </c>
      <c r="I30" s="36">
        <f>IF(AND(I$23 &gt; 0, $C$2&gt;5),I10/I$23,0)</f>
        <v>0</v>
      </c>
      <c r="J30" s="36">
        <f>IF(AND(J$23 &gt; 0, $C$2&gt;5),J10/J$23,0)</f>
        <v>0</v>
      </c>
      <c r="K30" s="36">
        <f t="shared" si="1"/>
        <v>0</v>
      </c>
      <c r="L30" s="36">
        <f t="shared" si="1"/>
        <v>0</v>
      </c>
      <c r="M30" s="36">
        <f t="shared" si="1"/>
        <v>0</v>
      </c>
      <c r="N30" s="36">
        <f t="shared" si="1"/>
        <v>0</v>
      </c>
      <c r="O30" s="36">
        <f t="shared" si="1"/>
        <v>0</v>
      </c>
      <c r="P30" s="36">
        <f t="shared" si="1"/>
        <v>0</v>
      </c>
      <c r="Q30" s="36">
        <f t="shared" si="1"/>
        <v>0</v>
      </c>
      <c r="R30" s="36">
        <f t="shared" si="1"/>
        <v>0</v>
      </c>
      <c r="S30" s="36">
        <f t="shared" si="1"/>
        <v>0</v>
      </c>
      <c r="T30" s="37">
        <f t="shared" si="1"/>
        <v>0</v>
      </c>
      <c r="U30" s="36"/>
      <c r="V30" s="68">
        <f t="shared" si="2"/>
        <v>0</v>
      </c>
      <c r="W30" s="4"/>
      <c r="X30" s="30">
        <f>$K$23*V30</f>
        <v>0</v>
      </c>
      <c r="Y30" s="38">
        <v>6</v>
      </c>
      <c r="Z30" s="5">
        <v>1.24</v>
      </c>
      <c r="AA30" s="5"/>
    </row>
    <row r="31" spans="1:27" ht="15.6" x14ac:dyDescent="0.3">
      <c r="A31" s="4"/>
      <c r="B31" s="4"/>
      <c r="C31" s="4"/>
      <c r="D31" s="4"/>
      <c r="E31" s="4">
        <v>7</v>
      </c>
      <c r="F31" s="35">
        <f t="shared" ref="F31:K31" si="3">IF(AND(F$23 &gt; 0, $C$2&gt;6),F11/F$23,0)</f>
        <v>0</v>
      </c>
      <c r="G31" s="36">
        <f t="shared" si="3"/>
        <v>0</v>
      </c>
      <c r="H31" s="36">
        <f t="shared" si="3"/>
        <v>0</v>
      </c>
      <c r="I31" s="36">
        <f t="shared" si="3"/>
        <v>0</v>
      </c>
      <c r="J31" s="36">
        <f t="shared" si="3"/>
        <v>0</v>
      </c>
      <c r="K31" s="36">
        <f t="shared" si="3"/>
        <v>0</v>
      </c>
      <c r="L31" s="36">
        <f t="shared" si="1"/>
        <v>0</v>
      </c>
      <c r="M31" s="36">
        <f t="shared" si="1"/>
        <v>0</v>
      </c>
      <c r="N31" s="36">
        <f t="shared" si="1"/>
        <v>0</v>
      </c>
      <c r="O31" s="36">
        <f t="shared" si="1"/>
        <v>0</v>
      </c>
      <c r="P31" s="36">
        <f t="shared" si="1"/>
        <v>0</v>
      </c>
      <c r="Q31" s="36">
        <f t="shared" si="1"/>
        <v>0</v>
      </c>
      <c r="R31" s="36">
        <f t="shared" si="1"/>
        <v>0</v>
      </c>
      <c r="S31" s="36">
        <f t="shared" si="1"/>
        <v>0</v>
      </c>
      <c r="T31" s="37">
        <f t="shared" si="1"/>
        <v>0</v>
      </c>
      <c r="U31" s="36"/>
      <c r="V31" s="68">
        <f t="shared" si="2"/>
        <v>0</v>
      </c>
      <c r="W31" s="4"/>
      <c r="X31" s="30">
        <f>$L$23*V31</f>
        <v>0</v>
      </c>
      <c r="Y31" s="38">
        <v>7</v>
      </c>
      <c r="Z31" s="5">
        <v>1.32</v>
      </c>
      <c r="AA31" s="5"/>
    </row>
    <row r="32" spans="1:27" ht="15.6" x14ac:dyDescent="0.3">
      <c r="A32" s="4"/>
      <c r="B32" s="4"/>
      <c r="C32" s="4"/>
      <c r="D32" s="4"/>
      <c r="E32" s="4">
        <v>8</v>
      </c>
      <c r="F32" s="35">
        <f>IF(AND(F$23 &gt; 0, $C$2&gt;7),F12/F$23,0)</f>
        <v>0</v>
      </c>
      <c r="G32" s="36">
        <f t="shared" ref="G32:L32" si="4">IF(AND(G$23 &gt; 0, $C$2&gt;7),G12/G$23,0)</f>
        <v>0</v>
      </c>
      <c r="H32" s="36">
        <f t="shared" si="4"/>
        <v>0</v>
      </c>
      <c r="I32" s="36">
        <f t="shared" si="4"/>
        <v>0</v>
      </c>
      <c r="J32" s="36">
        <f t="shared" si="4"/>
        <v>0</v>
      </c>
      <c r="K32" s="36">
        <f t="shared" si="4"/>
        <v>0</v>
      </c>
      <c r="L32" s="36">
        <f t="shared" si="4"/>
        <v>0</v>
      </c>
      <c r="M32" s="36">
        <f t="shared" si="1"/>
        <v>0</v>
      </c>
      <c r="N32" s="36">
        <f t="shared" si="1"/>
        <v>0</v>
      </c>
      <c r="O32" s="36">
        <f t="shared" si="1"/>
        <v>0</v>
      </c>
      <c r="P32" s="36">
        <f t="shared" si="1"/>
        <v>0</v>
      </c>
      <c r="Q32" s="36">
        <f t="shared" si="1"/>
        <v>0</v>
      </c>
      <c r="R32" s="36">
        <f t="shared" si="1"/>
        <v>0</v>
      </c>
      <c r="S32" s="36">
        <f t="shared" si="1"/>
        <v>0</v>
      </c>
      <c r="T32" s="37">
        <f t="shared" si="1"/>
        <v>0</v>
      </c>
      <c r="U32" s="36"/>
      <c r="V32" s="68">
        <f t="shared" si="2"/>
        <v>0</v>
      </c>
      <c r="W32" s="4"/>
      <c r="X32" s="30">
        <f>$M$23*V32</f>
        <v>0</v>
      </c>
      <c r="Y32" s="38">
        <v>8</v>
      </c>
      <c r="Z32" s="5">
        <v>1.41</v>
      </c>
      <c r="AA32" s="5"/>
    </row>
    <row r="33" spans="1:27" ht="15.6" x14ac:dyDescent="0.3">
      <c r="A33" s="4"/>
      <c r="B33" s="4"/>
      <c r="C33" s="4"/>
      <c r="D33" s="4"/>
      <c r="E33" s="4">
        <v>9</v>
      </c>
      <c r="F33" s="35">
        <f>IF(AND(F$23 &gt; 0, $C$2&gt;8),F13/F$23,0)</f>
        <v>0</v>
      </c>
      <c r="G33" s="36">
        <f t="shared" ref="G33:M33" si="5">IF(AND(G$23 &gt; 0, $C$2&gt;8),G13/G$23,0)</f>
        <v>0</v>
      </c>
      <c r="H33" s="36">
        <f t="shared" si="5"/>
        <v>0</v>
      </c>
      <c r="I33" s="36">
        <f t="shared" si="5"/>
        <v>0</v>
      </c>
      <c r="J33" s="36">
        <f t="shared" si="5"/>
        <v>0</v>
      </c>
      <c r="K33" s="36">
        <f t="shared" si="5"/>
        <v>0</v>
      </c>
      <c r="L33" s="36">
        <f t="shared" si="5"/>
        <v>0</v>
      </c>
      <c r="M33" s="36">
        <f t="shared" si="5"/>
        <v>0</v>
      </c>
      <c r="N33" s="36">
        <f t="shared" si="1"/>
        <v>0</v>
      </c>
      <c r="O33" s="36">
        <f t="shared" si="1"/>
        <v>0</v>
      </c>
      <c r="P33" s="36">
        <f t="shared" si="1"/>
        <v>0</v>
      </c>
      <c r="Q33" s="36">
        <f t="shared" si="1"/>
        <v>0</v>
      </c>
      <c r="R33" s="36">
        <f t="shared" si="1"/>
        <v>0</v>
      </c>
      <c r="S33" s="36">
        <f t="shared" si="1"/>
        <v>0</v>
      </c>
      <c r="T33" s="37">
        <f t="shared" si="1"/>
        <v>0</v>
      </c>
      <c r="U33" s="36"/>
      <c r="V33" s="68">
        <f t="shared" si="2"/>
        <v>0</v>
      </c>
      <c r="W33" s="4"/>
      <c r="X33" s="30">
        <f>$N$23*V33</f>
        <v>0</v>
      </c>
      <c r="Y33" s="38">
        <v>9</v>
      </c>
      <c r="Z33" s="5">
        <v>1.45</v>
      </c>
      <c r="AA33" s="5"/>
    </row>
    <row r="34" spans="1:27" ht="15.6" x14ac:dyDescent="0.3">
      <c r="A34" s="4"/>
      <c r="B34" s="4"/>
      <c r="C34" s="4"/>
      <c r="D34" s="4"/>
      <c r="E34" s="4">
        <v>10</v>
      </c>
      <c r="F34" s="35">
        <f>IF(AND(F$23 &gt; 0, $C$2&gt;9),F14/F$23,0)</f>
        <v>0</v>
      </c>
      <c r="G34" s="36">
        <f t="shared" ref="G34:N34" si="6">IF(AND(G$23 &gt; 0, $C$2&gt;9),G14/G$23,0)</f>
        <v>0</v>
      </c>
      <c r="H34" s="36">
        <f t="shared" si="6"/>
        <v>0</v>
      </c>
      <c r="I34" s="36">
        <f t="shared" si="6"/>
        <v>0</v>
      </c>
      <c r="J34" s="36">
        <f t="shared" si="6"/>
        <v>0</v>
      </c>
      <c r="K34" s="36">
        <f t="shared" si="6"/>
        <v>0</v>
      </c>
      <c r="L34" s="36">
        <f t="shared" si="6"/>
        <v>0</v>
      </c>
      <c r="M34" s="36">
        <f t="shared" si="6"/>
        <v>0</v>
      </c>
      <c r="N34" s="36">
        <f t="shared" si="6"/>
        <v>0</v>
      </c>
      <c r="O34" s="36">
        <f t="shared" si="1"/>
        <v>0</v>
      </c>
      <c r="P34" s="36">
        <f t="shared" si="1"/>
        <v>0</v>
      </c>
      <c r="Q34" s="36">
        <f t="shared" si="1"/>
        <v>0</v>
      </c>
      <c r="R34" s="36">
        <f t="shared" si="1"/>
        <v>0</v>
      </c>
      <c r="S34" s="36">
        <f t="shared" si="1"/>
        <v>0</v>
      </c>
      <c r="T34" s="37">
        <f t="shared" si="1"/>
        <v>0</v>
      </c>
      <c r="U34" s="36"/>
      <c r="V34" s="68">
        <f t="shared" si="2"/>
        <v>0</v>
      </c>
      <c r="W34" s="4"/>
      <c r="X34" s="30">
        <f>$O$23*V34</f>
        <v>0</v>
      </c>
      <c r="Y34" s="38">
        <v>10</v>
      </c>
      <c r="Z34" s="5">
        <v>1.51</v>
      </c>
      <c r="AA34" s="5"/>
    </row>
    <row r="35" spans="1:27" ht="15.6" x14ac:dyDescent="0.3">
      <c r="A35" s="4"/>
      <c r="B35" s="4"/>
      <c r="C35" s="4"/>
      <c r="D35" s="4"/>
      <c r="E35" s="4">
        <v>11</v>
      </c>
      <c r="F35" s="35">
        <f>IF(AND(F$23 &gt; 0, $C$2&gt;10),F15/F$23,0)</f>
        <v>0</v>
      </c>
      <c r="G35" s="36">
        <f t="shared" ref="G35:O35" si="7">IF(AND(G$23 &gt; 0, $C$2&gt;10),G15/G$23,0)</f>
        <v>0</v>
      </c>
      <c r="H35" s="36">
        <f t="shared" si="7"/>
        <v>0</v>
      </c>
      <c r="I35" s="36">
        <f t="shared" si="7"/>
        <v>0</v>
      </c>
      <c r="J35" s="36">
        <f t="shared" si="7"/>
        <v>0</v>
      </c>
      <c r="K35" s="36">
        <f t="shared" si="7"/>
        <v>0</v>
      </c>
      <c r="L35" s="36">
        <f t="shared" si="7"/>
        <v>0</v>
      </c>
      <c r="M35" s="36">
        <f t="shared" si="7"/>
        <v>0</v>
      </c>
      <c r="N35" s="36">
        <f t="shared" si="7"/>
        <v>0</v>
      </c>
      <c r="O35" s="36">
        <f t="shared" si="7"/>
        <v>0</v>
      </c>
      <c r="P35" s="36">
        <f t="shared" si="1"/>
        <v>0</v>
      </c>
      <c r="Q35" s="36">
        <f t="shared" si="1"/>
        <v>0</v>
      </c>
      <c r="R35" s="36">
        <f t="shared" si="1"/>
        <v>0</v>
      </c>
      <c r="S35" s="36">
        <f t="shared" si="1"/>
        <v>0</v>
      </c>
      <c r="T35" s="37">
        <f t="shared" si="1"/>
        <v>0</v>
      </c>
      <c r="U35" s="36"/>
      <c r="V35" s="68">
        <f t="shared" si="2"/>
        <v>0</v>
      </c>
      <c r="W35" s="4"/>
      <c r="X35" s="30">
        <f>$P$23*V35</f>
        <v>0</v>
      </c>
      <c r="Y35" s="38">
        <v>11</v>
      </c>
      <c r="Z35" s="5">
        <v>1.52</v>
      </c>
      <c r="AA35" s="4"/>
    </row>
    <row r="36" spans="1:27" ht="15.6" x14ac:dyDescent="0.3">
      <c r="A36" s="4"/>
      <c r="B36" s="4"/>
      <c r="C36" s="4"/>
      <c r="D36" s="4"/>
      <c r="E36" s="4">
        <v>12</v>
      </c>
      <c r="F36" s="35">
        <f>IF(AND(F$23 &gt; 0, $C$2&gt;11),F16/F$23,0)</f>
        <v>0</v>
      </c>
      <c r="G36" s="36">
        <f t="shared" ref="G36:P36" si="8">IF(AND(G$23 &gt; 0, $C$2&gt;11),G16/G$23,0)</f>
        <v>0</v>
      </c>
      <c r="H36" s="36">
        <f t="shared" si="8"/>
        <v>0</v>
      </c>
      <c r="I36" s="36">
        <f t="shared" si="8"/>
        <v>0</v>
      </c>
      <c r="J36" s="36">
        <f t="shared" si="8"/>
        <v>0</v>
      </c>
      <c r="K36" s="36">
        <f t="shared" si="8"/>
        <v>0</v>
      </c>
      <c r="L36" s="36">
        <f t="shared" si="8"/>
        <v>0</v>
      </c>
      <c r="M36" s="36">
        <f t="shared" si="8"/>
        <v>0</v>
      </c>
      <c r="N36" s="36">
        <f t="shared" si="8"/>
        <v>0</v>
      </c>
      <c r="O36" s="36">
        <f t="shared" si="8"/>
        <v>0</v>
      </c>
      <c r="P36" s="36">
        <f t="shared" si="8"/>
        <v>0</v>
      </c>
      <c r="Q36" s="36">
        <f t="shared" si="1"/>
        <v>0</v>
      </c>
      <c r="R36" s="36">
        <f t="shared" si="1"/>
        <v>0</v>
      </c>
      <c r="S36" s="36">
        <f t="shared" si="1"/>
        <v>0</v>
      </c>
      <c r="T36" s="37">
        <f t="shared" si="1"/>
        <v>0</v>
      </c>
      <c r="U36" s="36"/>
      <c r="V36" s="68">
        <f t="shared" si="2"/>
        <v>0</v>
      </c>
      <c r="W36" s="4"/>
      <c r="X36" s="30">
        <f>$Q$23*V36</f>
        <v>0</v>
      </c>
      <c r="Y36" s="38">
        <v>12</v>
      </c>
      <c r="Z36" s="5">
        <v>1.54</v>
      </c>
      <c r="AA36" s="4"/>
    </row>
    <row r="37" spans="1:27" ht="15.6" x14ac:dyDescent="0.3">
      <c r="A37" s="4"/>
      <c r="B37" s="4"/>
      <c r="C37" s="4"/>
      <c r="D37" s="4"/>
      <c r="E37" s="4">
        <v>13</v>
      </c>
      <c r="F37" s="35">
        <f t="shared" ref="F37:P37" si="9">IF(AND(F$23 &gt; 0, $C$2&gt;12),F17/F$23,0)</f>
        <v>0</v>
      </c>
      <c r="G37" s="36">
        <f t="shared" si="9"/>
        <v>0</v>
      </c>
      <c r="H37" s="36">
        <f t="shared" si="9"/>
        <v>0</v>
      </c>
      <c r="I37" s="36">
        <f t="shared" si="9"/>
        <v>0</v>
      </c>
      <c r="J37" s="36">
        <f t="shared" si="9"/>
        <v>0</v>
      </c>
      <c r="K37" s="36">
        <f t="shared" si="9"/>
        <v>0</v>
      </c>
      <c r="L37" s="36">
        <f t="shared" si="9"/>
        <v>0</v>
      </c>
      <c r="M37" s="36">
        <f t="shared" si="9"/>
        <v>0</v>
      </c>
      <c r="N37" s="36">
        <f t="shared" si="9"/>
        <v>0</v>
      </c>
      <c r="O37" s="36">
        <f t="shared" si="9"/>
        <v>0</v>
      </c>
      <c r="P37" s="36">
        <f t="shared" si="9"/>
        <v>0</v>
      </c>
      <c r="Q37" s="36">
        <f>IF(AND(Q$23 &gt; 0, $C$2&gt;12),Q17/Q$23,0)</f>
        <v>0</v>
      </c>
      <c r="R37" s="36">
        <f t="shared" si="1"/>
        <v>0</v>
      </c>
      <c r="S37" s="36">
        <f t="shared" si="1"/>
        <v>0</v>
      </c>
      <c r="T37" s="37">
        <f t="shared" si="1"/>
        <v>0</v>
      </c>
      <c r="U37" s="36"/>
      <c r="V37" s="68">
        <f t="shared" si="2"/>
        <v>0</v>
      </c>
      <c r="W37" s="4"/>
      <c r="X37" s="30">
        <f>$R$23*V37</f>
        <v>0</v>
      </c>
      <c r="Y37" s="38">
        <v>13</v>
      </c>
      <c r="Z37" s="5">
        <v>1.56</v>
      </c>
      <c r="AA37" s="4"/>
    </row>
    <row r="38" spans="1:27" ht="15.6" x14ac:dyDescent="0.3">
      <c r="A38" s="4"/>
      <c r="B38" s="4"/>
      <c r="C38" s="4"/>
      <c r="D38" s="4"/>
      <c r="E38" s="4">
        <v>14</v>
      </c>
      <c r="F38" s="35">
        <f t="shared" ref="F38:Q38" si="10">IF(AND(F$23 &gt; 0,$C$2&gt;13), F18/F$23,0)</f>
        <v>0</v>
      </c>
      <c r="G38" s="36">
        <f t="shared" si="10"/>
        <v>0</v>
      </c>
      <c r="H38" s="36">
        <f t="shared" si="10"/>
        <v>0</v>
      </c>
      <c r="I38" s="36">
        <f t="shared" si="10"/>
        <v>0</v>
      </c>
      <c r="J38" s="36">
        <f t="shared" si="10"/>
        <v>0</v>
      </c>
      <c r="K38" s="36">
        <f t="shared" si="10"/>
        <v>0</v>
      </c>
      <c r="L38" s="36">
        <f t="shared" si="10"/>
        <v>0</v>
      </c>
      <c r="M38" s="36">
        <f t="shared" si="10"/>
        <v>0</v>
      </c>
      <c r="N38" s="36">
        <f t="shared" si="10"/>
        <v>0</v>
      </c>
      <c r="O38" s="36">
        <f t="shared" si="10"/>
        <v>0</v>
      </c>
      <c r="P38" s="36">
        <f t="shared" si="10"/>
        <v>0</v>
      </c>
      <c r="Q38" s="36">
        <f t="shared" si="10"/>
        <v>0</v>
      </c>
      <c r="R38" s="36">
        <f>IF(AND(R$23 &gt; 0,$C$2&gt;13), R18/R$23,0)</f>
        <v>0</v>
      </c>
      <c r="S38" s="36">
        <f t="shared" si="1"/>
        <v>0</v>
      </c>
      <c r="T38" s="37">
        <f t="shared" si="1"/>
        <v>0</v>
      </c>
      <c r="U38" s="36"/>
      <c r="V38" s="68">
        <f t="shared" si="2"/>
        <v>0</v>
      </c>
      <c r="W38" s="4"/>
      <c r="X38" s="30">
        <f>$S$23*V38</f>
        <v>0</v>
      </c>
      <c r="Y38" s="38">
        <v>14</v>
      </c>
      <c r="Z38" s="5">
        <v>1.58</v>
      </c>
      <c r="AA38" s="4"/>
    </row>
    <row r="39" spans="1:27" ht="15.6" x14ac:dyDescent="0.3">
      <c r="A39" s="4"/>
      <c r="B39" s="47" t="s">
        <v>36</v>
      </c>
      <c r="C39" s="4"/>
      <c r="D39" s="4"/>
      <c r="E39" s="4">
        <v>15</v>
      </c>
      <c r="F39" s="39">
        <f t="shared" ref="F39:R39" si="11">IF(AND(F$23 &gt; 0,$C$2 &gt;14), F19/F$23,0)</f>
        <v>0</v>
      </c>
      <c r="G39" s="40">
        <f t="shared" si="11"/>
        <v>0</v>
      </c>
      <c r="H39" s="40">
        <f t="shared" si="11"/>
        <v>0</v>
      </c>
      <c r="I39" s="40">
        <f t="shared" si="11"/>
        <v>0</v>
      </c>
      <c r="J39" s="40">
        <f t="shared" si="11"/>
        <v>0</v>
      </c>
      <c r="K39" s="40">
        <f t="shared" si="11"/>
        <v>0</v>
      </c>
      <c r="L39" s="40">
        <f t="shared" si="11"/>
        <v>0</v>
      </c>
      <c r="M39" s="40">
        <f t="shared" si="11"/>
        <v>0</v>
      </c>
      <c r="N39" s="40">
        <f t="shared" si="11"/>
        <v>0</v>
      </c>
      <c r="O39" s="40">
        <f t="shared" si="11"/>
        <v>0</v>
      </c>
      <c r="P39" s="40">
        <f t="shared" si="11"/>
        <v>0</v>
      </c>
      <c r="Q39" s="40">
        <f t="shared" si="11"/>
        <v>0</v>
      </c>
      <c r="R39" s="40">
        <f t="shared" si="11"/>
        <v>0</v>
      </c>
      <c r="S39" s="40">
        <f>IF(AND(S$23 &gt; 0,$C$2 &gt;14), S19/S$23,0)</f>
        <v>0</v>
      </c>
      <c r="T39" s="41">
        <f t="shared" si="1"/>
        <v>0</v>
      </c>
      <c r="U39" s="36"/>
      <c r="V39" s="68">
        <f t="shared" si="2"/>
        <v>0</v>
      </c>
      <c r="W39" s="4"/>
      <c r="X39" s="30">
        <f>$T$23*V39</f>
        <v>0</v>
      </c>
      <c r="Y39" s="38">
        <v>15</v>
      </c>
      <c r="Z39" s="5">
        <v>1.59</v>
      </c>
      <c r="AA39" s="4"/>
    </row>
    <row r="40" spans="1:27" ht="15.6" x14ac:dyDescent="0.3">
      <c r="A40" s="4"/>
      <c r="B40" s="48" t="s">
        <v>37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"/>
      <c r="Y40" s="4"/>
      <c r="Z40" s="4"/>
      <c r="AA40" s="4"/>
    </row>
    <row r="41" spans="1:27" ht="15.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  <c r="Y41" s="4"/>
      <c r="Z41" s="4"/>
      <c r="AA41" s="4"/>
    </row>
  </sheetData>
  <sheetProtection password="FA7B" sheet="1" objects="1" scenarios="1" selectLockedCells="1"/>
  <mergeCells count="5">
    <mergeCell ref="F2:K2"/>
    <mergeCell ref="B4:C4"/>
    <mergeCell ref="X4:Y4"/>
    <mergeCell ref="X5:Y5"/>
    <mergeCell ref="X6:Y6"/>
  </mergeCells>
  <conditionalFormatting sqref="X5">
    <cfRule type="containsText" dxfId="18" priority="18" operator="containsText" text="Check">
      <formula>NOT(ISERROR(SEARCH("Check",X5)))</formula>
    </cfRule>
  </conditionalFormatting>
  <conditionalFormatting sqref="X6">
    <cfRule type="cellIs" dxfId="17" priority="16" operator="greaterThan">
      <formula>0.1</formula>
    </cfRule>
    <cfRule type="containsText" dxfId="16" priority="17" operator="containsText" text="Check">
      <formula>NOT(ISERROR(SEARCH("Check",X6)))</formula>
    </cfRule>
  </conditionalFormatting>
  <conditionalFormatting sqref="V9:V19">
    <cfRule type="cellIs" dxfId="15" priority="15" operator="equal">
      <formula>0</formula>
    </cfRule>
  </conditionalFormatting>
  <conditionalFormatting sqref="T4:T18 E19:T19">
    <cfRule type="expression" dxfId="14" priority="14">
      <formula>$C$2 &lt; 15</formula>
    </cfRule>
  </conditionalFormatting>
  <conditionalFormatting sqref="E17">
    <cfRule type="expression" dxfId="13" priority="12">
      <formula>$C$2 &lt; 13</formula>
    </cfRule>
    <cfRule type="expression" dxfId="12" priority="13">
      <formula>$C$2 &lt; 13</formula>
    </cfRule>
  </conditionalFormatting>
  <conditionalFormatting sqref="E8:I8 I4:I7">
    <cfRule type="expression" dxfId="11" priority="11">
      <formula>$C$2 &lt; 4</formula>
    </cfRule>
  </conditionalFormatting>
  <conditionalFormatting sqref="E18:S18 S4:S17">
    <cfRule type="expression" dxfId="10" priority="10">
      <formula>$C$2 &lt; 14</formula>
    </cfRule>
  </conditionalFormatting>
  <conditionalFormatting sqref="E16:Q16 Q4:Q15">
    <cfRule type="expression" dxfId="9" priority="9">
      <formula>$C$2 &lt; 12</formula>
    </cfRule>
  </conditionalFormatting>
  <conditionalFormatting sqref="E15:P15 P4:P14">
    <cfRule type="expression" dxfId="8" priority="8">
      <formula>$C$2 &lt; 11</formula>
    </cfRule>
  </conditionalFormatting>
  <conditionalFormatting sqref="E14:O14 O4:O13">
    <cfRule type="expression" dxfId="7" priority="7">
      <formula>$C$2 &lt; 10</formula>
    </cfRule>
  </conditionalFormatting>
  <conditionalFormatting sqref="E13:N13 N4:N12">
    <cfRule type="expression" dxfId="6" priority="6">
      <formula>$C$2 &lt; 9</formula>
    </cfRule>
  </conditionalFormatting>
  <conditionalFormatting sqref="E17:R17 R4:R16">
    <cfRule type="expression" dxfId="5" priority="5">
      <formula>$C$2 &lt; 13</formula>
    </cfRule>
  </conditionalFormatting>
  <conditionalFormatting sqref="E12:M12 M4:M11">
    <cfRule type="expression" dxfId="4" priority="4">
      <formula>$C$2 &lt;8</formula>
    </cfRule>
  </conditionalFormatting>
  <conditionalFormatting sqref="E11:L11 L4:L10">
    <cfRule type="expression" dxfId="3" priority="3">
      <formula>$C$2 &lt; 7</formula>
    </cfRule>
  </conditionalFormatting>
  <conditionalFormatting sqref="E10:K10 K4:K9">
    <cfRule type="expression" dxfId="2" priority="2">
      <formula>$C$2 &lt; 6</formula>
    </cfRule>
  </conditionalFormatting>
  <conditionalFormatting sqref="E9:J9 J4:J8">
    <cfRule type="expression" dxfId="1" priority="1">
      <formula>$C$2 &lt; 5</formula>
    </cfRule>
  </conditionalFormatting>
  <dataValidations count="2">
    <dataValidation type="list" allowBlank="1" showInputMessage="1" showErrorMessage="1" sqref="C2" xr:uid="{00000000-0002-0000-0200-000000000000}">
      <formula1>$E$27:$E$39</formula1>
    </dataValidation>
    <dataValidation type="list" allowBlank="1" showInputMessage="1" showErrorMessage="1" promptTitle="Relative Importance" sqref="T18 S17:T17 R16:T16 Q15:T15 P14:T14 O13:T13 N12:T12 M11:T11 L10:T10 K9:T9 J8:T8 I7:T7 H6:T6 G5:T5" xr:uid="{00000000-0002-0000-0200-000001000000}">
      <formula1>$C$5:$C$21</formula1>
    </dataValidation>
  </dataValidations>
  <hyperlinks>
    <hyperlink ref="B40" r:id="rId1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AHP Template - 3 to 15 criteria</vt:lpstr>
      <vt:lpstr>Example - Bike priorities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</dc:creator>
  <cp:lastModifiedBy>Mara Lucca</cp:lastModifiedBy>
  <dcterms:created xsi:type="dcterms:W3CDTF">2012-09-20T07:29:24Z</dcterms:created>
  <dcterms:modified xsi:type="dcterms:W3CDTF">2017-08-20T03:27:53Z</dcterms:modified>
</cp:coreProperties>
</file>