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FF36BAEC-2EB6-4605-9736-D5241EEB4A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N26" i="1" l="1"/>
  <c r="U26" i="1" s="1"/>
  <c r="X26" i="1" s="1"/>
  <c r="N25" i="1"/>
  <c r="U25" i="1" s="1"/>
  <c r="X25" i="1" s="1"/>
  <c r="N24" i="1"/>
  <c r="U24" i="1" s="1"/>
  <c r="X24" i="1" s="1"/>
  <c r="N23" i="1"/>
  <c r="U23" i="1" s="1"/>
  <c r="X23" i="1" s="1"/>
  <c r="N22" i="1"/>
  <c r="U22" i="1" s="1"/>
  <c r="X22" i="1" s="1"/>
  <c r="N21" i="1"/>
  <c r="U21" i="1" s="1"/>
  <c r="X21" i="1" s="1"/>
  <c r="N20" i="1"/>
  <c r="U20" i="1" s="1"/>
  <c r="X20" i="1" s="1"/>
  <c r="N19" i="1"/>
  <c r="U19" i="1" s="1"/>
  <c r="X19" i="1" s="1"/>
  <c r="N18" i="1"/>
  <c r="U18" i="1" s="1"/>
  <c r="X18" i="1" s="1"/>
  <c r="N17" i="1"/>
  <c r="U17" i="1" s="1"/>
  <c r="X17" i="1" s="1"/>
  <c r="N16" i="1"/>
  <c r="U16" i="1" s="1"/>
  <c r="X16" i="1" s="1"/>
  <c r="N15" i="1"/>
  <c r="U15" i="1" s="1"/>
  <c r="X15" i="1" s="1"/>
  <c r="N14" i="1"/>
  <c r="U14" i="1" s="1"/>
  <c r="X14" i="1" s="1"/>
  <c r="N13" i="1"/>
  <c r="U13" i="1" s="1"/>
  <c r="X13" i="1" s="1"/>
  <c r="N12" i="1"/>
  <c r="U12" i="1" s="1"/>
  <c r="X12" i="1" s="1"/>
  <c r="N11" i="1"/>
  <c r="U11" i="1" s="1"/>
  <c r="X11" i="1" s="1"/>
  <c r="N10" i="1"/>
  <c r="U10" i="1" s="1"/>
  <c r="X10" i="1" s="1"/>
  <c r="N9" i="1"/>
  <c r="U9" i="1" s="1"/>
  <c r="X9" i="1" s="1"/>
  <c r="N8" i="1"/>
  <c r="U8" i="1" s="1"/>
  <c r="X8" i="1" s="1"/>
  <c r="N7" i="1"/>
  <c r="U7" i="1" s="1"/>
  <c r="X7" i="1" s="1"/>
  <c r="N6" i="1"/>
  <c r="U6" i="1" s="1"/>
  <c r="X6" i="1" s="1"/>
  <c r="N5" i="1"/>
  <c r="U5" i="1" s="1"/>
  <c r="X5" i="1" s="1"/>
  <c r="N4" i="1"/>
  <c r="U4" i="1" s="1"/>
  <c r="X4" i="1" s="1"/>
  <c r="N3" i="1"/>
  <c r="U3" i="1" s="1"/>
  <c r="X3" i="1" s="1"/>
  <c r="N2" i="1"/>
  <c r="U2" i="1" s="1"/>
  <c r="M26" i="1"/>
  <c r="T26" i="1" s="1"/>
  <c r="W26" i="1" s="1"/>
  <c r="M25" i="1"/>
  <c r="T25" i="1" s="1"/>
  <c r="W25" i="1" s="1"/>
  <c r="M24" i="1"/>
  <c r="T24" i="1" s="1"/>
  <c r="W24" i="1" s="1"/>
  <c r="M23" i="1"/>
  <c r="T23" i="1" s="1"/>
  <c r="W23" i="1" s="1"/>
  <c r="M22" i="1"/>
  <c r="T22" i="1" s="1"/>
  <c r="W22" i="1" s="1"/>
  <c r="M21" i="1"/>
  <c r="T21" i="1" s="1"/>
  <c r="W21" i="1" s="1"/>
  <c r="M20" i="1"/>
  <c r="T20" i="1" s="1"/>
  <c r="W20" i="1" s="1"/>
  <c r="M19" i="1"/>
  <c r="T19" i="1" s="1"/>
  <c r="W19" i="1" s="1"/>
  <c r="M18" i="1"/>
  <c r="T18" i="1" s="1"/>
  <c r="W18" i="1" s="1"/>
  <c r="M17" i="1"/>
  <c r="T17" i="1" s="1"/>
  <c r="W17" i="1" s="1"/>
  <c r="M16" i="1"/>
  <c r="T16" i="1" s="1"/>
  <c r="W16" i="1" s="1"/>
  <c r="M15" i="1"/>
  <c r="T15" i="1" s="1"/>
  <c r="W15" i="1" s="1"/>
  <c r="M14" i="1"/>
  <c r="T14" i="1" s="1"/>
  <c r="W14" i="1" s="1"/>
  <c r="M13" i="1"/>
  <c r="T13" i="1" s="1"/>
  <c r="W13" i="1" s="1"/>
  <c r="M12" i="1"/>
  <c r="T12" i="1" s="1"/>
  <c r="W12" i="1" s="1"/>
  <c r="M11" i="1"/>
  <c r="T11" i="1" s="1"/>
  <c r="W11" i="1" s="1"/>
  <c r="M10" i="1"/>
  <c r="T10" i="1" s="1"/>
  <c r="W10" i="1" s="1"/>
  <c r="M9" i="1"/>
  <c r="T9" i="1" s="1"/>
  <c r="W9" i="1" s="1"/>
  <c r="M8" i="1"/>
  <c r="T8" i="1" s="1"/>
  <c r="W8" i="1" s="1"/>
  <c r="M7" i="1"/>
  <c r="T7" i="1" s="1"/>
  <c r="W7" i="1" s="1"/>
  <c r="M6" i="1"/>
  <c r="T6" i="1" s="1"/>
  <c r="W6" i="1" s="1"/>
  <c r="M5" i="1"/>
  <c r="T5" i="1" s="1"/>
  <c r="W5" i="1" s="1"/>
  <c r="M4" i="1"/>
  <c r="T4" i="1" s="1"/>
  <c r="W4" i="1" s="1"/>
  <c r="M3" i="1"/>
  <c r="T3" i="1" s="1"/>
  <c r="W3" i="1" s="1"/>
  <c r="M2" i="1"/>
  <c r="T2" i="1" s="1"/>
  <c r="L26" i="1"/>
  <c r="S26" i="1" s="1"/>
  <c r="V26" i="1" s="1"/>
  <c r="L25" i="1"/>
  <c r="S25" i="1" s="1"/>
  <c r="V25" i="1" s="1"/>
  <c r="L24" i="1"/>
  <c r="S24" i="1" s="1"/>
  <c r="V24" i="1" s="1"/>
  <c r="L23" i="1"/>
  <c r="S23" i="1" s="1"/>
  <c r="V23" i="1" s="1"/>
  <c r="L22" i="1"/>
  <c r="S22" i="1" s="1"/>
  <c r="V22" i="1" s="1"/>
  <c r="L21" i="1"/>
  <c r="S21" i="1" s="1"/>
  <c r="V21" i="1" s="1"/>
  <c r="L20" i="1"/>
  <c r="S20" i="1" s="1"/>
  <c r="V20" i="1" s="1"/>
  <c r="L19" i="1"/>
  <c r="S19" i="1" s="1"/>
  <c r="V19" i="1" s="1"/>
  <c r="L18" i="1"/>
  <c r="S18" i="1" s="1"/>
  <c r="V18" i="1" s="1"/>
  <c r="L17" i="1"/>
  <c r="S17" i="1" s="1"/>
  <c r="V17" i="1" s="1"/>
  <c r="L16" i="1"/>
  <c r="S16" i="1" s="1"/>
  <c r="V16" i="1" s="1"/>
  <c r="L15" i="1"/>
  <c r="S15" i="1" s="1"/>
  <c r="V15" i="1" s="1"/>
  <c r="L14" i="1"/>
  <c r="S14" i="1" s="1"/>
  <c r="V14" i="1" s="1"/>
  <c r="L13" i="1"/>
  <c r="S13" i="1" s="1"/>
  <c r="V13" i="1" s="1"/>
  <c r="L12" i="1"/>
  <c r="S12" i="1" s="1"/>
  <c r="V12" i="1" s="1"/>
  <c r="L11" i="1"/>
  <c r="S11" i="1" s="1"/>
  <c r="V11" i="1" s="1"/>
  <c r="L10" i="1"/>
  <c r="S10" i="1" s="1"/>
  <c r="V10" i="1" s="1"/>
  <c r="L9" i="1"/>
  <c r="S9" i="1" s="1"/>
  <c r="V9" i="1" s="1"/>
  <c r="L8" i="1"/>
  <c r="S8" i="1" s="1"/>
  <c r="V8" i="1" s="1"/>
  <c r="L7" i="1"/>
  <c r="S7" i="1" s="1"/>
  <c r="V7" i="1" s="1"/>
  <c r="L6" i="1"/>
  <c r="S6" i="1" s="1"/>
  <c r="V6" i="1" s="1"/>
  <c r="L5" i="1"/>
  <c r="S5" i="1" s="1"/>
  <c r="V5" i="1" s="1"/>
  <c r="L4" i="1"/>
  <c r="S4" i="1" s="1"/>
  <c r="V4" i="1" s="1"/>
  <c r="L3" i="1"/>
  <c r="S3" i="1" s="1"/>
  <c r="V3" i="1" s="1"/>
  <c r="L2" i="1"/>
  <c r="S2" i="1" s="1"/>
  <c r="AK2" i="1"/>
  <c r="P27" i="1"/>
  <c r="O27" i="1"/>
  <c r="AI27" i="1"/>
  <c r="AG2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3" i="1"/>
  <c r="AO4" i="1"/>
  <c r="AO5" i="1"/>
  <c r="AO2" i="1"/>
  <c r="AS26" i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W2" i="1" l="1"/>
  <c r="W27" i="1" s="1"/>
  <c r="T27" i="1"/>
  <c r="S27" i="1"/>
  <c r="V2" i="1"/>
  <c r="V27" i="1" s="1"/>
  <c r="U27" i="1"/>
  <c r="X2" i="1"/>
  <c r="X27" i="1" s="1"/>
  <c r="N27" i="1"/>
  <c r="AK27" i="1"/>
  <c r="M27" i="1"/>
  <c r="L27" i="1"/>
  <c r="AL2" i="1"/>
  <c r="AU27" i="1"/>
  <c r="AT27" i="1"/>
  <c r="AP27" i="1"/>
  <c r="AQ27" i="1"/>
  <c r="AS27" i="1"/>
  <c r="AV27" i="1"/>
  <c r="AR27" i="1"/>
  <c r="AO27" i="1"/>
  <c r="AL27" i="1" l="1"/>
</calcChain>
</file>

<file path=xl/sharedStrings.xml><?xml version="1.0" encoding="utf-8"?>
<sst xmlns="http://schemas.openxmlformats.org/spreadsheetml/2006/main" count="71" uniqueCount="46">
  <si>
    <t>Absolūtā kļūda ΔB</t>
  </si>
  <si>
    <t>10.07.2024.</t>
  </si>
  <si>
    <t>12.07.2024.</t>
  </si>
  <si>
    <t>Bx gadījuma kļūda  δ</t>
  </si>
  <si>
    <t>By gadījuma kļūda  δ</t>
  </si>
  <si>
    <t>Bz gadījuma kļūda  δ</t>
  </si>
  <si>
    <t>Bx, By, Bz Sistemātiskā kļūda θ</t>
  </si>
  <si>
    <t>Absolūtā kļūda ΔBx</t>
  </si>
  <si>
    <t>Absolūtā kļūda ΔBy</t>
  </si>
  <si>
    <t>Absolūtā kļūda ΔBz</t>
  </si>
  <si>
    <t>Bx relatīvā kļūda r</t>
  </si>
  <si>
    <t>By relatīvā kļūda r</t>
  </si>
  <si>
    <t>Bz relatīvā kļūda r</t>
  </si>
  <si>
    <t>GPS N (°)</t>
  </si>
  <si>
    <t>GPS E (°)</t>
  </si>
  <si>
    <t xml:space="preserve">B eksperiment. (nT) </t>
  </si>
  <si>
    <t xml:space="preserve">Bx eksperiment. (nT) </t>
  </si>
  <si>
    <t xml:space="preserve">By eksperiment. (nT) </t>
  </si>
  <si>
    <t xml:space="preserve">Bz eksperiment. (nT) </t>
  </si>
  <si>
    <t>Eksperiment. mērījumu veikšanas dat.</t>
  </si>
  <si>
    <t>Pieņemtais augstums (m v.j.l.)</t>
  </si>
  <si>
    <t>B teor. (IGRF) (nT)</t>
  </si>
  <si>
    <t>B teor. (WMM) (nT)</t>
  </si>
  <si>
    <t>Bx standartnovirze s</t>
  </si>
  <si>
    <t>By standartnovirze s</t>
  </si>
  <si>
    <t>Bz standartnovirze s</t>
  </si>
  <si>
    <t>Bx teor. (IGRF) (nT)</t>
  </si>
  <si>
    <t>By teor. (IGRF) (nT)</t>
  </si>
  <si>
    <t>Bz teor. (IGRF) (nT)</t>
  </si>
  <si>
    <t>Bx teor. (WMM) (nT)</t>
  </si>
  <si>
    <t>By teor. (WMM) (nT)</t>
  </si>
  <si>
    <t>Bz teor. (WMM) (nT)</t>
  </si>
  <si>
    <t>B standartnovirze s</t>
  </si>
  <si>
    <t>B Gadījuma kļūda  δ</t>
  </si>
  <si>
    <t>B Sistemātiskā kļūda θ</t>
  </si>
  <si>
    <t>B Relatīvā kļūda r</t>
  </si>
  <si>
    <t>B izmaiņa no teor. (IGRF) (nT)</t>
  </si>
  <si>
    <t>B izmaiņa no teor. (WMM) (nT)</t>
  </si>
  <si>
    <t>Bx izmaiņa no teor. (IGRF) (nT)</t>
  </si>
  <si>
    <t>By izmaiņa no teor. (IGRF) (nT)</t>
  </si>
  <si>
    <t>Bz izmaiņa no teor. (IGRF) (nT)</t>
  </si>
  <si>
    <t>Bx izmaiņa no teor. (WMM) (nT)</t>
  </si>
  <si>
    <t>By izmaiņa no teor. (WMM) (nT)</t>
  </si>
  <si>
    <t>Bz izmaiņa no teor. (WMM) (nT)</t>
  </si>
  <si>
    <t>Vidējais:</t>
  </si>
  <si>
    <t>Stjūdenta koeficients t (99.9%)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</si>
</sst>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00000"/>
    <numFmt numFmtId="166" formatCode="0.000%"/>
  </numFmts>
  <fonts count="4" x14ac:knownFonts="1">
    <font>
      <sz val="11"/>
      <name val="Calibri"/>
    </font>
    <font>
      <sz val="11"/>
      <name val="Calibri"/>
    </font>
    <font>
      <sz val="12"/>
      <name val="Aptos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/>
    <xf numFmtId="166" fontId="0" fillId="0" borderId="0" xfId="1" applyNumberFormat="1" applyFont="1"/>
    <xf numFmtId="166" fontId="0" fillId="0" borderId="4" xfId="1" applyNumberFormat="1" applyFont="1" applyBorder="1"/>
    <xf numFmtId="0" fontId="3" fillId="0" borderId="1" xfId="0" applyFont="1" applyBorder="1"/>
    <xf numFmtId="0" fontId="3" fillId="0" borderId="3" xfId="0" applyFont="1" applyBorder="1"/>
  </cellXfs>
  <cellStyles count="3">
    <cellStyle name="Normal" xfId="0" builtinId="0"/>
    <cellStyle name="Normal 2" xfId="2" xr:uid="{CC7DC0F8-7FAD-472A-8BD7-663AD20801C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Bx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FD9-A119-7330C772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1888"/>
        <c:axId val="-244873184"/>
      </c:scatterChart>
      <c:valAx>
        <c:axId val="-2448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3184"/>
        <c:crosses val="autoZero"/>
        <c:crossBetween val="midCat"/>
      </c:valAx>
      <c:valAx>
        <c:axId val="-244873184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1888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Magnētiskā lauka indukcijas B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atkarība no ģeogrāfiskā platuma (GPS N)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Results!$AK$2:$AK$26</c:f>
                <c:numCache>
                  <c:formatCode>General</c:formatCode>
                  <c:ptCount val="25"/>
                  <c:pt idx="0">
                    <c:v>57.249601060602465</c:v>
                  </c:pt>
                  <c:pt idx="1">
                    <c:v>6.9345447087176622</c:v>
                  </c:pt>
                  <c:pt idx="2">
                    <c:v>9.792066219489703</c:v>
                  </c:pt>
                  <c:pt idx="3">
                    <c:v>7.8219085064057179</c:v>
                  </c:pt>
                  <c:pt idx="4">
                    <c:v>1.6347384790756994</c:v>
                  </c:pt>
                  <c:pt idx="5">
                    <c:v>12.476695208574048</c:v>
                  </c:pt>
                  <c:pt idx="6">
                    <c:v>21.096661396277803</c:v>
                  </c:pt>
                  <c:pt idx="7">
                    <c:v>6.2444607810919726</c:v>
                  </c:pt>
                  <c:pt idx="8">
                    <c:v>3.2380314867979383</c:v>
                  </c:pt>
                  <c:pt idx="9">
                    <c:v>5.0971507164760892</c:v>
                  </c:pt>
                  <c:pt idx="10">
                    <c:v>5.6697542003941033</c:v>
                  </c:pt>
                  <c:pt idx="11">
                    <c:v>7.1560470009223733</c:v>
                  </c:pt>
                  <c:pt idx="12">
                    <c:v>8.6507477517864224</c:v>
                  </c:pt>
                  <c:pt idx="13">
                    <c:v>90.859703352746124</c:v>
                  </c:pt>
                  <c:pt idx="14">
                    <c:v>66.582622459866656</c:v>
                  </c:pt>
                  <c:pt idx="15">
                    <c:v>5.6309166698508841</c:v>
                  </c:pt>
                  <c:pt idx="16">
                    <c:v>85.495918083598269</c:v>
                  </c:pt>
                  <c:pt idx="17">
                    <c:v>4.9033157102816398</c:v>
                  </c:pt>
                  <c:pt idx="18">
                    <c:v>4.4933944413917724</c:v>
                  </c:pt>
                  <c:pt idx="19">
                    <c:v>7.5205525156373403</c:v>
                  </c:pt>
                  <c:pt idx="20">
                    <c:v>14.342357986724634</c:v>
                  </c:pt>
                  <c:pt idx="21">
                    <c:v>16.440389724430478</c:v>
                  </c:pt>
                  <c:pt idx="22">
                    <c:v>9.5939632678847424</c:v>
                  </c:pt>
                  <c:pt idx="23">
                    <c:v>7.1337709244970204</c:v>
                  </c:pt>
                  <c:pt idx="24">
                    <c:v>34.04287398221696</c:v>
                  </c:pt>
                </c:numCache>
              </c:numRef>
            </c:plus>
            <c:minus>
              <c:numRef>
                <c:f>Results!$AK$2:$AK$26</c:f>
                <c:numCache>
                  <c:formatCode>General</c:formatCode>
                  <c:ptCount val="25"/>
                  <c:pt idx="0">
                    <c:v>57.249601060602465</c:v>
                  </c:pt>
                  <c:pt idx="1">
                    <c:v>6.9345447087176622</c:v>
                  </c:pt>
                  <c:pt idx="2">
                    <c:v>9.792066219489703</c:v>
                  </c:pt>
                  <c:pt idx="3">
                    <c:v>7.8219085064057179</c:v>
                  </c:pt>
                  <c:pt idx="4">
                    <c:v>1.6347384790756994</c:v>
                  </c:pt>
                  <c:pt idx="5">
                    <c:v>12.476695208574048</c:v>
                  </c:pt>
                  <c:pt idx="6">
                    <c:v>21.096661396277803</c:v>
                  </c:pt>
                  <c:pt idx="7">
                    <c:v>6.2444607810919726</c:v>
                  </c:pt>
                  <c:pt idx="8">
                    <c:v>3.2380314867979383</c:v>
                  </c:pt>
                  <c:pt idx="9">
                    <c:v>5.0971507164760892</c:v>
                  </c:pt>
                  <c:pt idx="10">
                    <c:v>5.6697542003941033</c:v>
                  </c:pt>
                  <c:pt idx="11">
                    <c:v>7.1560470009223733</c:v>
                  </c:pt>
                  <c:pt idx="12">
                    <c:v>8.6507477517864224</c:v>
                  </c:pt>
                  <c:pt idx="13">
                    <c:v>90.859703352746124</c:v>
                  </c:pt>
                  <c:pt idx="14">
                    <c:v>66.582622459866656</c:v>
                  </c:pt>
                  <c:pt idx="15">
                    <c:v>5.6309166698508841</c:v>
                  </c:pt>
                  <c:pt idx="16">
                    <c:v>85.495918083598269</c:v>
                  </c:pt>
                  <c:pt idx="17">
                    <c:v>4.9033157102816398</c:v>
                  </c:pt>
                  <c:pt idx="18">
                    <c:v>4.4933944413917724</c:v>
                  </c:pt>
                  <c:pt idx="19">
                    <c:v>7.5205525156373403</c:v>
                  </c:pt>
                  <c:pt idx="20">
                    <c:v>14.342357986724634</c:v>
                  </c:pt>
                  <c:pt idx="21">
                    <c:v>16.440389724430478</c:v>
                  </c:pt>
                  <c:pt idx="22">
                    <c:v>9.5939632678847424</c:v>
                  </c:pt>
                  <c:pt idx="23">
                    <c:v>7.1337709244970204</c:v>
                  </c:pt>
                  <c:pt idx="24">
                    <c:v>34.04287398221696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3-4A95-9F91-2A0693CBA455}"/>
            </c:ext>
          </c:extLst>
        </c:ser>
        <c:ser>
          <c:idx val="1"/>
          <c:order val="1"/>
          <c:tx>
            <c:v>B teor. (IGRF)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51848.5</c:v>
                </c:pt>
                <c:pt idx="1">
                  <c:v>51861</c:v>
                </c:pt>
                <c:pt idx="2">
                  <c:v>51862.7</c:v>
                </c:pt>
                <c:pt idx="3">
                  <c:v>51862.400000000001</c:v>
                </c:pt>
                <c:pt idx="4">
                  <c:v>51864.2</c:v>
                </c:pt>
                <c:pt idx="5">
                  <c:v>51864.2</c:v>
                </c:pt>
                <c:pt idx="6">
                  <c:v>51867.3</c:v>
                </c:pt>
                <c:pt idx="7">
                  <c:v>51867.6</c:v>
                </c:pt>
                <c:pt idx="8">
                  <c:v>51875.4</c:v>
                </c:pt>
                <c:pt idx="9">
                  <c:v>51852</c:v>
                </c:pt>
                <c:pt idx="10">
                  <c:v>51851.5</c:v>
                </c:pt>
                <c:pt idx="11">
                  <c:v>51851.7</c:v>
                </c:pt>
                <c:pt idx="12">
                  <c:v>51852.2</c:v>
                </c:pt>
                <c:pt idx="13">
                  <c:v>51856.6</c:v>
                </c:pt>
                <c:pt idx="14">
                  <c:v>51856.2</c:v>
                </c:pt>
                <c:pt idx="15">
                  <c:v>51855.9</c:v>
                </c:pt>
                <c:pt idx="16">
                  <c:v>51857.3</c:v>
                </c:pt>
                <c:pt idx="17">
                  <c:v>51857.9</c:v>
                </c:pt>
                <c:pt idx="18">
                  <c:v>51857.8</c:v>
                </c:pt>
                <c:pt idx="19">
                  <c:v>51859.1</c:v>
                </c:pt>
                <c:pt idx="20">
                  <c:v>51860.3</c:v>
                </c:pt>
                <c:pt idx="21">
                  <c:v>51860.3</c:v>
                </c:pt>
                <c:pt idx="22">
                  <c:v>51860.3</c:v>
                </c:pt>
                <c:pt idx="23">
                  <c:v>51860.2</c:v>
                </c:pt>
                <c:pt idx="24">
                  <c:v>51860.4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3-4A95-9F91-2A0693CBA455}"/>
            </c:ext>
          </c:extLst>
        </c:ser>
        <c:ser>
          <c:idx val="2"/>
          <c:order val="2"/>
          <c:tx>
            <c:v>B teor. (WMM)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3-4A95-9F91-2A0693CB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73199"/>
        <c:axId val="1270463599"/>
      </c:scatterChart>
      <c:valAx>
        <c:axId val="12704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3599"/>
        <c:crosses val="autoZero"/>
        <c:crossBetween val="midCat"/>
      </c:valAx>
      <c:valAx>
        <c:axId val="1270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7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 atkarība no ģeogrāfiskā garuma (GPS E)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Results!$AK$2:$AK$26</c:f>
                <c:numCache>
                  <c:formatCode>General</c:formatCode>
                  <c:ptCount val="25"/>
                  <c:pt idx="0">
                    <c:v>57.249601060602465</c:v>
                  </c:pt>
                  <c:pt idx="1">
                    <c:v>6.9345447087176622</c:v>
                  </c:pt>
                  <c:pt idx="2">
                    <c:v>9.792066219489703</c:v>
                  </c:pt>
                  <c:pt idx="3">
                    <c:v>7.8219085064057179</c:v>
                  </c:pt>
                  <c:pt idx="4">
                    <c:v>1.6347384790756994</c:v>
                  </c:pt>
                  <c:pt idx="5">
                    <c:v>12.476695208574048</c:v>
                  </c:pt>
                  <c:pt idx="6">
                    <c:v>21.096661396277803</c:v>
                  </c:pt>
                  <c:pt idx="7">
                    <c:v>6.2444607810919726</c:v>
                  </c:pt>
                  <c:pt idx="8">
                    <c:v>3.2380314867979383</c:v>
                  </c:pt>
                  <c:pt idx="9">
                    <c:v>5.0971507164760892</c:v>
                  </c:pt>
                  <c:pt idx="10">
                    <c:v>5.6697542003941033</c:v>
                  </c:pt>
                  <c:pt idx="11">
                    <c:v>7.1560470009223733</c:v>
                  </c:pt>
                  <c:pt idx="12">
                    <c:v>8.6507477517864224</c:v>
                  </c:pt>
                  <c:pt idx="13">
                    <c:v>90.859703352746124</c:v>
                  </c:pt>
                  <c:pt idx="14">
                    <c:v>66.582622459866656</c:v>
                  </c:pt>
                  <c:pt idx="15">
                    <c:v>5.6309166698508841</c:v>
                  </c:pt>
                  <c:pt idx="16">
                    <c:v>85.495918083598269</c:v>
                  </c:pt>
                  <c:pt idx="17">
                    <c:v>4.9033157102816398</c:v>
                  </c:pt>
                  <c:pt idx="18">
                    <c:v>4.4933944413917724</c:v>
                  </c:pt>
                  <c:pt idx="19">
                    <c:v>7.5205525156373403</c:v>
                  </c:pt>
                  <c:pt idx="20">
                    <c:v>14.342357986724634</c:v>
                  </c:pt>
                  <c:pt idx="21">
                    <c:v>16.440389724430478</c:v>
                  </c:pt>
                  <c:pt idx="22">
                    <c:v>9.5939632678847424</c:v>
                  </c:pt>
                  <c:pt idx="23">
                    <c:v>7.1337709244970204</c:v>
                  </c:pt>
                  <c:pt idx="24">
                    <c:v>34.04287398221696</c:v>
                  </c:pt>
                </c:numCache>
              </c:numRef>
            </c:plus>
            <c:minus>
              <c:numRef>
                <c:f>Results!$AK$2:$AK$26</c:f>
                <c:numCache>
                  <c:formatCode>General</c:formatCode>
                  <c:ptCount val="25"/>
                  <c:pt idx="0">
                    <c:v>57.249601060602465</c:v>
                  </c:pt>
                  <c:pt idx="1">
                    <c:v>6.9345447087176622</c:v>
                  </c:pt>
                  <c:pt idx="2">
                    <c:v>9.792066219489703</c:v>
                  </c:pt>
                  <c:pt idx="3">
                    <c:v>7.8219085064057179</c:v>
                  </c:pt>
                  <c:pt idx="4">
                    <c:v>1.6347384790756994</c:v>
                  </c:pt>
                  <c:pt idx="5">
                    <c:v>12.476695208574048</c:v>
                  </c:pt>
                  <c:pt idx="6">
                    <c:v>21.096661396277803</c:v>
                  </c:pt>
                  <c:pt idx="7">
                    <c:v>6.2444607810919726</c:v>
                  </c:pt>
                  <c:pt idx="8">
                    <c:v>3.2380314867979383</c:v>
                  </c:pt>
                  <c:pt idx="9">
                    <c:v>5.0971507164760892</c:v>
                  </c:pt>
                  <c:pt idx="10">
                    <c:v>5.6697542003941033</c:v>
                  </c:pt>
                  <c:pt idx="11">
                    <c:v>7.1560470009223733</c:v>
                  </c:pt>
                  <c:pt idx="12">
                    <c:v>8.6507477517864224</c:v>
                  </c:pt>
                  <c:pt idx="13">
                    <c:v>90.859703352746124</c:v>
                  </c:pt>
                  <c:pt idx="14">
                    <c:v>66.582622459866656</c:v>
                  </c:pt>
                  <c:pt idx="15">
                    <c:v>5.6309166698508841</c:v>
                  </c:pt>
                  <c:pt idx="16">
                    <c:v>85.495918083598269</c:v>
                  </c:pt>
                  <c:pt idx="17">
                    <c:v>4.9033157102816398</c:v>
                  </c:pt>
                  <c:pt idx="18">
                    <c:v>4.4933944413917724</c:v>
                  </c:pt>
                  <c:pt idx="19">
                    <c:v>7.5205525156373403</c:v>
                  </c:pt>
                  <c:pt idx="20">
                    <c:v>14.342357986724634</c:v>
                  </c:pt>
                  <c:pt idx="21">
                    <c:v>16.440389724430478</c:v>
                  </c:pt>
                  <c:pt idx="22">
                    <c:v>9.5939632678847424</c:v>
                  </c:pt>
                  <c:pt idx="23">
                    <c:v>7.1337709244970204</c:v>
                  </c:pt>
                  <c:pt idx="24">
                    <c:v>34.04287398221696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D15-8CE1-8360CD791550}"/>
            </c:ext>
          </c:extLst>
        </c:ser>
        <c:ser>
          <c:idx val="1"/>
          <c:order val="1"/>
          <c:tx>
            <c:v>B teor. (IGRF)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51848.5</c:v>
                </c:pt>
                <c:pt idx="1">
                  <c:v>51861</c:v>
                </c:pt>
                <c:pt idx="2">
                  <c:v>51862.7</c:v>
                </c:pt>
                <c:pt idx="3">
                  <c:v>51862.400000000001</c:v>
                </c:pt>
                <c:pt idx="4">
                  <c:v>51864.2</c:v>
                </c:pt>
                <c:pt idx="5">
                  <c:v>51864.2</c:v>
                </c:pt>
                <c:pt idx="6">
                  <c:v>51867.3</c:v>
                </c:pt>
                <c:pt idx="7">
                  <c:v>51867.6</c:v>
                </c:pt>
                <c:pt idx="8">
                  <c:v>51875.4</c:v>
                </c:pt>
                <c:pt idx="9">
                  <c:v>51852</c:v>
                </c:pt>
                <c:pt idx="10">
                  <c:v>51851.5</c:v>
                </c:pt>
                <c:pt idx="11">
                  <c:v>51851.7</c:v>
                </c:pt>
                <c:pt idx="12">
                  <c:v>51852.2</c:v>
                </c:pt>
                <c:pt idx="13">
                  <c:v>51856.6</c:v>
                </c:pt>
                <c:pt idx="14">
                  <c:v>51856.2</c:v>
                </c:pt>
                <c:pt idx="15">
                  <c:v>51855.9</c:v>
                </c:pt>
                <c:pt idx="16">
                  <c:v>51857.3</c:v>
                </c:pt>
                <c:pt idx="17">
                  <c:v>51857.9</c:v>
                </c:pt>
                <c:pt idx="18">
                  <c:v>51857.8</c:v>
                </c:pt>
                <c:pt idx="19">
                  <c:v>51859.1</c:v>
                </c:pt>
                <c:pt idx="20">
                  <c:v>51860.3</c:v>
                </c:pt>
                <c:pt idx="21">
                  <c:v>51860.3</c:v>
                </c:pt>
                <c:pt idx="22">
                  <c:v>51860.3</c:v>
                </c:pt>
                <c:pt idx="23">
                  <c:v>51860.2</c:v>
                </c:pt>
                <c:pt idx="24">
                  <c:v>51860.4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4-4D15-8CE1-8360CD791550}"/>
            </c:ext>
          </c:extLst>
        </c:ser>
        <c:ser>
          <c:idx val="2"/>
          <c:order val="2"/>
          <c:tx>
            <c:v>B teor. (WMM)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4-4D15-8CE1-8360CD79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7791"/>
        <c:axId val="68473951"/>
      </c:scatterChart>
      <c:valAx>
        <c:axId val="684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3951"/>
        <c:crosses val="autoZero"/>
        <c:crossBetween val="midCat"/>
      </c:valAx>
      <c:valAx>
        <c:axId val="684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By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0-47A3-91E9-B5373FAF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0256"/>
        <c:axId val="-244875360"/>
      </c:scatterChart>
      <c:valAx>
        <c:axId val="-2448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5360"/>
        <c:crosses val="autoZero"/>
        <c:crossBetween val="midCat"/>
      </c:valAx>
      <c:valAx>
        <c:axId val="-244875360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0256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Bz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03D-A9CA-338C36E5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2096"/>
        <c:axId val="-244881344"/>
      </c:scatterChart>
      <c:valAx>
        <c:axId val="-244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1344"/>
        <c:crosses val="autoZero"/>
        <c:crossBetween val="midCat"/>
      </c:valAx>
      <c:valAx>
        <c:axId val="-244881344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2096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Bx komponentes atkarība no ģeogrāfiskā platuma (GPS N)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Results!$L$2:$L$26</c:f>
                <c:numCache>
                  <c:formatCode>General</c:formatCode>
                  <c:ptCount val="25"/>
                  <c:pt idx="0">
                    <c:v>16.102284750963925</c:v>
                  </c:pt>
                  <c:pt idx="1">
                    <c:v>2.6776735999539958</c:v>
                  </c:pt>
                  <c:pt idx="2">
                    <c:v>1.6233255367351245</c:v>
                  </c:pt>
                  <c:pt idx="3">
                    <c:v>2.0163177571435176</c:v>
                  </c:pt>
                  <c:pt idx="4">
                    <c:v>2.41213164390801</c:v>
                  </c:pt>
                  <c:pt idx="5">
                    <c:v>14.42405334278555</c:v>
                  </c:pt>
                  <c:pt idx="6">
                    <c:v>6.0115152839778467</c:v>
                  </c:pt>
                  <c:pt idx="7">
                    <c:v>2.6287207373625008</c:v>
                  </c:pt>
                  <c:pt idx="8">
                    <c:v>1.9768156608095047</c:v>
                  </c:pt>
                  <c:pt idx="9">
                    <c:v>5.5591816178845121</c:v>
                  </c:pt>
                  <c:pt idx="10">
                    <c:v>2.0743607377673752</c:v>
                  </c:pt>
                  <c:pt idx="11">
                    <c:v>9.6918893090069922</c:v>
                  </c:pt>
                  <c:pt idx="12">
                    <c:v>2.8510853693623517</c:v>
                  </c:pt>
                  <c:pt idx="13">
                    <c:v>22.244876248882843</c:v>
                  </c:pt>
                  <c:pt idx="14">
                    <c:v>24.1457853784874</c:v>
                  </c:pt>
                  <c:pt idx="15">
                    <c:v>2.0231395872056712</c:v>
                  </c:pt>
                  <c:pt idx="16">
                    <c:v>3.396918909916419</c:v>
                  </c:pt>
                  <c:pt idx="17">
                    <c:v>22.70637656843628</c:v>
                  </c:pt>
                  <c:pt idx="18">
                    <c:v>2.0646053644954763</c:v>
                  </c:pt>
                  <c:pt idx="19">
                    <c:v>1.9154560413208106</c:v>
                  </c:pt>
                  <c:pt idx="20">
                    <c:v>7.7041921924228527</c:v>
                  </c:pt>
                  <c:pt idx="21">
                    <c:v>3.7911269714902938</c:v>
                  </c:pt>
                  <c:pt idx="22">
                    <c:v>2.410998759657458</c:v>
                  </c:pt>
                  <c:pt idx="23">
                    <c:v>4.5264837337836337</c:v>
                  </c:pt>
                  <c:pt idx="24">
                    <c:v>36.938193499517574</c:v>
                  </c:pt>
                </c:numCache>
              </c:numRef>
            </c:plus>
            <c:minus>
              <c:numRef>
                <c:f>Results!$L$2:$L$26</c:f>
                <c:numCache>
                  <c:formatCode>General</c:formatCode>
                  <c:ptCount val="25"/>
                  <c:pt idx="0">
                    <c:v>16.102284750963925</c:v>
                  </c:pt>
                  <c:pt idx="1">
                    <c:v>2.6776735999539958</c:v>
                  </c:pt>
                  <c:pt idx="2">
                    <c:v>1.6233255367351245</c:v>
                  </c:pt>
                  <c:pt idx="3">
                    <c:v>2.0163177571435176</c:v>
                  </c:pt>
                  <c:pt idx="4">
                    <c:v>2.41213164390801</c:v>
                  </c:pt>
                  <c:pt idx="5">
                    <c:v>14.42405334278555</c:v>
                  </c:pt>
                  <c:pt idx="6">
                    <c:v>6.0115152839778467</c:v>
                  </c:pt>
                  <c:pt idx="7">
                    <c:v>2.6287207373625008</c:v>
                  </c:pt>
                  <c:pt idx="8">
                    <c:v>1.9768156608095047</c:v>
                  </c:pt>
                  <c:pt idx="9">
                    <c:v>5.5591816178845121</c:v>
                  </c:pt>
                  <c:pt idx="10">
                    <c:v>2.0743607377673752</c:v>
                  </c:pt>
                  <c:pt idx="11">
                    <c:v>9.6918893090069922</c:v>
                  </c:pt>
                  <c:pt idx="12">
                    <c:v>2.8510853693623517</c:v>
                  </c:pt>
                  <c:pt idx="13">
                    <c:v>22.244876248882843</c:v>
                  </c:pt>
                  <c:pt idx="14">
                    <c:v>24.1457853784874</c:v>
                  </c:pt>
                  <c:pt idx="15">
                    <c:v>2.0231395872056712</c:v>
                  </c:pt>
                  <c:pt idx="16">
                    <c:v>3.396918909916419</c:v>
                  </c:pt>
                  <c:pt idx="17">
                    <c:v>22.70637656843628</c:v>
                  </c:pt>
                  <c:pt idx="18">
                    <c:v>2.0646053644954763</c:v>
                  </c:pt>
                  <c:pt idx="19">
                    <c:v>1.9154560413208106</c:v>
                  </c:pt>
                  <c:pt idx="20">
                    <c:v>7.7041921924228527</c:v>
                  </c:pt>
                  <c:pt idx="21">
                    <c:v>3.7911269714902938</c:v>
                  </c:pt>
                  <c:pt idx="22">
                    <c:v>2.410998759657458</c:v>
                  </c:pt>
                  <c:pt idx="23">
                    <c:v>4.5264837337836337</c:v>
                  </c:pt>
                  <c:pt idx="24">
                    <c:v>36.938193499517574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126-8C3E-E9108FCFBCDE}"/>
            </c:ext>
          </c:extLst>
        </c:ser>
        <c:ser>
          <c:idx val="1"/>
          <c:order val="1"/>
          <c:tx>
            <c:v>Bx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Results!$AC$2:$AC$26</c:f>
              <c:numCache>
                <c:formatCode>General</c:formatCode>
                <c:ptCount val="25"/>
                <c:pt idx="0">
                  <c:v>2534.6999999999998</c:v>
                </c:pt>
                <c:pt idx="1">
                  <c:v>2532.3000000000002</c:v>
                </c:pt>
                <c:pt idx="2">
                  <c:v>2532.6999999999998</c:v>
                </c:pt>
                <c:pt idx="3">
                  <c:v>2532.5</c:v>
                </c:pt>
                <c:pt idx="4">
                  <c:v>2531.6999999999998</c:v>
                </c:pt>
                <c:pt idx="5">
                  <c:v>2531.6999999999998</c:v>
                </c:pt>
                <c:pt idx="6">
                  <c:v>2531.1</c:v>
                </c:pt>
                <c:pt idx="7">
                  <c:v>2531.1999999999998</c:v>
                </c:pt>
                <c:pt idx="8">
                  <c:v>2531.4</c:v>
                </c:pt>
                <c:pt idx="9">
                  <c:v>2534.8000000000002</c:v>
                </c:pt>
                <c:pt idx="10">
                  <c:v>2534.5</c:v>
                </c:pt>
                <c:pt idx="11">
                  <c:v>2534.6</c:v>
                </c:pt>
                <c:pt idx="12">
                  <c:v>2534.1</c:v>
                </c:pt>
                <c:pt idx="13">
                  <c:v>2533.8000000000002</c:v>
                </c:pt>
                <c:pt idx="14">
                  <c:v>2533.3000000000002</c:v>
                </c:pt>
                <c:pt idx="15">
                  <c:v>2533</c:v>
                </c:pt>
                <c:pt idx="16">
                  <c:v>2533.1999999999998</c:v>
                </c:pt>
                <c:pt idx="17">
                  <c:v>2532.6</c:v>
                </c:pt>
                <c:pt idx="18">
                  <c:v>2532.6</c:v>
                </c:pt>
                <c:pt idx="19">
                  <c:v>2532.3000000000002</c:v>
                </c:pt>
                <c:pt idx="20">
                  <c:v>2532.1999999999998</c:v>
                </c:pt>
                <c:pt idx="21">
                  <c:v>2532.1999999999998</c:v>
                </c:pt>
                <c:pt idx="22">
                  <c:v>2532.1999999999998</c:v>
                </c:pt>
                <c:pt idx="23">
                  <c:v>2532.1</c:v>
                </c:pt>
                <c:pt idx="24">
                  <c:v>2532.1999999999998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6-427A-B741-42CE62461637}"/>
            </c:ext>
          </c:extLst>
        </c:ser>
        <c:ser>
          <c:idx val="2"/>
          <c:order val="2"/>
          <c:tx>
            <c:v>Bx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Results!$Z$2:$Z$26</c:f>
              <c:numCache>
                <c:formatCode>General</c:formatCode>
                <c:ptCount val="25"/>
                <c:pt idx="0">
                  <c:v>2535.1999999999998</c:v>
                </c:pt>
                <c:pt idx="1">
                  <c:v>2533.1999999999998</c:v>
                </c:pt>
                <c:pt idx="2">
                  <c:v>2533.5</c:v>
                </c:pt>
                <c:pt idx="3">
                  <c:v>2533.3000000000002</c:v>
                </c:pt>
                <c:pt idx="4">
                  <c:v>2532.6</c:v>
                </c:pt>
                <c:pt idx="5">
                  <c:v>2532.6</c:v>
                </c:pt>
                <c:pt idx="6">
                  <c:v>2532</c:v>
                </c:pt>
                <c:pt idx="7">
                  <c:v>2532</c:v>
                </c:pt>
                <c:pt idx="8">
                  <c:v>2532.1999999999998</c:v>
                </c:pt>
                <c:pt idx="9">
                  <c:v>2535.3000000000002</c:v>
                </c:pt>
                <c:pt idx="10">
                  <c:v>2535.1</c:v>
                </c:pt>
                <c:pt idx="11">
                  <c:v>2535.1</c:v>
                </c:pt>
                <c:pt idx="12">
                  <c:v>2534.6</c:v>
                </c:pt>
                <c:pt idx="13">
                  <c:v>2534.4</c:v>
                </c:pt>
                <c:pt idx="14">
                  <c:v>2533.8000000000002</c:v>
                </c:pt>
                <c:pt idx="15">
                  <c:v>2533.5</c:v>
                </c:pt>
                <c:pt idx="16">
                  <c:v>2533.6999999999998</c:v>
                </c:pt>
                <c:pt idx="17">
                  <c:v>2533.1</c:v>
                </c:pt>
                <c:pt idx="18">
                  <c:v>2533.1999999999998</c:v>
                </c:pt>
                <c:pt idx="19">
                  <c:v>2532.9</c:v>
                </c:pt>
                <c:pt idx="20">
                  <c:v>2533</c:v>
                </c:pt>
                <c:pt idx="21">
                  <c:v>2533</c:v>
                </c:pt>
                <c:pt idx="22">
                  <c:v>2533</c:v>
                </c:pt>
                <c:pt idx="23">
                  <c:v>2533</c:v>
                </c:pt>
                <c:pt idx="24">
                  <c:v>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0-40EA-ADD5-72971F59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46080"/>
        <c:axId val="-2125642816"/>
      </c:scatterChart>
      <c:valAx>
        <c:axId val="-2125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2816"/>
        <c:crosses val="autoZero"/>
        <c:crossBetween val="midCat"/>
      </c:valAx>
      <c:valAx>
        <c:axId val="-21256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By komponentes atkarība no ģeogrāfiskā platuma (GPS N)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Results!$M$2:$M$26</c:f>
                <c:numCache>
                  <c:formatCode>General</c:formatCode>
                  <c:ptCount val="25"/>
                  <c:pt idx="0">
                    <c:v>59.082494600635826</c:v>
                  </c:pt>
                  <c:pt idx="1">
                    <c:v>6.9136465445490591</c:v>
                  </c:pt>
                  <c:pt idx="2">
                    <c:v>9.4229169608909249</c:v>
                  </c:pt>
                  <c:pt idx="3">
                    <c:v>7.225946749161257</c:v>
                  </c:pt>
                  <c:pt idx="4">
                    <c:v>1.4038894024817572</c:v>
                  </c:pt>
                  <c:pt idx="5">
                    <c:v>13.620856320565929</c:v>
                  </c:pt>
                  <c:pt idx="6">
                    <c:v>100.23560746796552</c:v>
                  </c:pt>
                  <c:pt idx="7">
                    <c:v>6.298308439648058</c:v>
                  </c:pt>
                  <c:pt idx="8">
                    <c:v>2.9069545483747783</c:v>
                  </c:pt>
                  <c:pt idx="9">
                    <c:v>4.7571436012850725</c:v>
                  </c:pt>
                  <c:pt idx="10">
                    <c:v>5.6859833955860264</c:v>
                  </c:pt>
                  <c:pt idx="11">
                    <c:v>2.5298409860335278</c:v>
                  </c:pt>
                  <c:pt idx="12">
                    <c:v>8.6895728531057994</c:v>
                  </c:pt>
                  <c:pt idx="13">
                    <c:v>94.482556455640093</c:v>
                  </c:pt>
                  <c:pt idx="14">
                    <c:v>81.728067532938312</c:v>
                  </c:pt>
                  <c:pt idx="15">
                    <c:v>5.4385611393741842</c:v>
                  </c:pt>
                  <c:pt idx="16">
                    <c:v>94.576441716137353</c:v>
                  </c:pt>
                  <c:pt idx="17">
                    <c:v>6.6568424475060866</c:v>
                  </c:pt>
                  <c:pt idx="18">
                    <c:v>4.5724902554410329</c:v>
                  </c:pt>
                  <c:pt idx="19">
                    <c:v>7.651083241679701</c:v>
                  </c:pt>
                  <c:pt idx="20">
                    <c:v>13.666593755884549</c:v>
                  </c:pt>
                  <c:pt idx="21">
                    <c:v>16.777618372250533</c:v>
                  </c:pt>
                  <c:pt idx="22">
                    <c:v>10.143672386347406</c:v>
                  </c:pt>
                  <c:pt idx="23">
                    <c:v>10.636004822602448</c:v>
                  </c:pt>
                  <c:pt idx="24">
                    <c:v>29.370715974745433</c:v>
                  </c:pt>
                </c:numCache>
              </c:numRef>
            </c:plus>
            <c:minus>
              <c:numRef>
                <c:f>Results!$M$2:$M$26</c:f>
                <c:numCache>
                  <c:formatCode>General</c:formatCode>
                  <c:ptCount val="25"/>
                  <c:pt idx="0">
                    <c:v>59.082494600635826</c:v>
                  </c:pt>
                  <c:pt idx="1">
                    <c:v>6.9136465445490591</c:v>
                  </c:pt>
                  <c:pt idx="2">
                    <c:v>9.4229169608909249</c:v>
                  </c:pt>
                  <c:pt idx="3">
                    <c:v>7.225946749161257</c:v>
                  </c:pt>
                  <c:pt idx="4">
                    <c:v>1.4038894024817572</c:v>
                  </c:pt>
                  <c:pt idx="5">
                    <c:v>13.620856320565929</c:v>
                  </c:pt>
                  <c:pt idx="6">
                    <c:v>100.23560746796552</c:v>
                  </c:pt>
                  <c:pt idx="7">
                    <c:v>6.298308439648058</c:v>
                  </c:pt>
                  <c:pt idx="8">
                    <c:v>2.9069545483747783</c:v>
                  </c:pt>
                  <c:pt idx="9">
                    <c:v>4.7571436012850725</c:v>
                  </c:pt>
                  <c:pt idx="10">
                    <c:v>5.6859833955860264</c:v>
                  </c:pt>
                  <c:pt idx="11">
                    <c:v>2.5298409860335278</c:v>
                  </c:pt>
                  <c:pt idx="12">
                    <c:v>8.6895728531057994</c:v>
                  </c:pt>
                  <c:pt idx="13">
                    <c:v>94.482556455640093</c:v>
                  </c:pt>
                  <c:pt idx="14">
                    <c:v>81.728067532938312</c:v>
                  </c:pt>
                  <c:pt idx="15">
                    <c:v>5.4385611393741842</c:v>
                  </c:pt>
                  <c:pt idx="16">
                    <c:v>94.576441716137353</c:v>
                  </c:pt>
                  <c:pt idx="17">
                    <c:v>6.6568424475060866</c:v>
                  </c:pt>
                  <c:pt idx="18">
                    <c:v>4.5724902554410329</c:v>
                  </c:pt>
                  <c:pt idx="19">
                    <c:v>7.651083241679701</c:v>
                  </c:pt>
                  <c:pt idx="20">
                    <c:v>13.666593755884549</c:v>
                  </c:pt>
                  <c:pt idx="21">
                    <c:v>16.777618372250533</c:v>
                  </c:pt>
                  <c:pt idx="22">
                    <c:v>10.143672386347406</c:v>
                  </c:pt>
                  <c:pt idx="23">
                    <c:v>10.636004822602448</c:v>
                  </c:pt>
                  <c:pt idx="24">
                    <c:v>29.370715974745433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142-B084-333369B3D2F8}"/>
            </c:ext>
          </c:extLst>
        </c:ser>
        <c:ser>
          <c:idx val="1"/>
          <c:order val="1"/>
          <c:tx>
            <c:v>By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Results!$AD$2:$AD$26</c:f>
              <c:numCache>
                <c:formatCode>General</c:formatCode>
                <c:ptCount val="25"/>
                <c:pt idx="0">
                  <c:v>-49167.7</c:v>
                </c:pt>
                <c:pt idx="1">
                  <c:v>-49191.9</c:v>
                </c:pt>
                <c:pt idx="2">
                  <c:v>-49194.7</c:v>
                </c:pt>
                <c:pt idx="3">
                  <c:v>-49194.400000000001</c:v>
                </c:pt>
                <c:pt idx="4">
                  <c:v>-49198.2</c:v>
                </c:pt>
                <c:pt idx="5">
                  <c:v>-49198.2</c:v>
                </c:pt>
                <c:pt idx="6">
                  <c:v>-49204.4</c:v>
                </c:pt>
                <c:pt idx="7">
                  <c:v>-49204.800000000003</c:v>
                </c:pt>
                <c:pt idx="8">
                  <c:v>-49219.1</c:v>
                </c:pt>
                <c:pt idx="9">
                  <c:v>-49174</c:v>
                </c:pt>
                <c:pt idx="10">
                  <c:v>-49173.4</c:v>
                </c:pt>
                <c:pt idx="11">
                  <c:v>-49173.7</c:v>
                </c:pt>
                <c:pt idx="12">
                  <c:v>-49175</c:v>
                </c:pt>
                <c:pt idx="13">
                  <c:v>-49183.3</c:v>
                </c:pt>
                <c:pt idx="14">
                  <c:v>-49183.1</c:v>
                </c:pt>
                <c:pt idx="15">
                  <c:v>-49182.7</c:v>
                </c:pt>
                <c:pt idx="16">
                  <c:v>-49185.2</c:v>
                </c:pt>
                <c:pt idx="17">
                  <c:v>-49186.7</c:v>
                </c:pt>
                <c:pt idx="18">
                  <c:v>-49186.5</c:v>
                </c:pt>
                <c:pt idx="19">
                  <c:v>-49189.1</c:v>
                </c:pt>
                <c:pt idx="20">
                  <c:v>-49190.7</c:v>
                </c:pt>
                <c:pt idx="21">
                  <c:v>-49190.7</c:v>
                </c:pt>
                <c:pt idx="22">
                  <c:v>-49190.6</c:v>
                </c:pt>
                <c:pt idx="23">
                  <c:v>-49190.6</c:v>
                </c:pt>
                <c:pt idx="24">
                  <c:v>-49190.9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A-4F44-88BF-8586C5DA4D1B}"/>
            </c:ext>
          </c:extLst>
        </c:ser>
        <c:ser>
          <c:idx val="2"/>
          <c:order val="2"/>
          <c:tx>
            <c:v>By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Results!$AA$2:$AA$26</c:f>
              <c:numCache>
                <c:formatCode>General</c:formatCode>
                <c:ptCount val="25"/>
                <c:pt idx="0">
                  <c:v>-49223.1</c:v>
                </c:pt>
                <c:pt idx="1">
                  <c:v>-49247.8</c:v>
                </c:pt>
                <c:pt idx="2">
                  <c:v>-49250.6</c:v>
                </c:pt>
                <c:pt idx="3">
                  <c:v>-49250.3</c:v>
                </c:pt>
                <c:pt idx="4">
                  <c:v>-49254.2</c:v>
                </c:pt>
                <c:pt idx="5">
                  <c:v>-49254.2</c:v>
                </c:pt>
                <c:pt idx="6">
                  <c:v>-49260.4</c:v>
                </c:pt>
                <c:pt idx="7">
                  <c:v>-49206.8</c:v>
                </c:pt>
                <c:pt idx="8">
                  <c:v>-49275.199999999997</c:v>
                </c:pt>
                <c:pt idx="9">
                  <c:v>-49229.4</c:v>
                </c:pt>
                <c:pt idx="10">
                  <c:v>-49228.9</c:v>
                </c:pt>
                <c:pt idx="11">
                  <c:v>-49229.1</c:v>
                </c:pt>
                <c:pt idx="12">
                  <c:v>-49230.5</c:v>
                </c:pt>
                <c:pt idx="13">
                  <c:v>-49238.7</c:v>
                </c:pt>
                <c:pt idx="14">
                  <c:v>-49238.5</c:v>
                </c:pt>
                <c:pt idx="15">
                  <c:v>-49238.2</c:v>
                </c:pt>
                <c:pt idx="16">
                  <c:v>-49240.7</c:v>
                </c:pt>
                <c:pt idx="17">
                  <c:v>-49242.2</c:v>
                </c:pt>
                <c:pt idx="18">
                  <c:v>-49242</c:v>
                </c:pt>
                <c:pt idx="19">
                  <c:v>-49244.6</c:v>
                </c:pt>
                <c:pt idx="20">
                  <c:v>-49246.7</c:v>
                </c:pt>
                <c:pt idx="21">
                  <c:v>-49246.6</c:v>
                </c:pt>
                <c:pt idx="22">
                  <c:v>-49246.6</c:v>
                </c:pt>
                <c:pt idx="23">
                  <c:v>-49246.5</c:v>
                </c:pt>
                <c:pt idx="24">
                  <c:v>-49246.8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2-4AB1-A7B5-82481A28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047728"/>
        <c:axId val="-1919045008"/>
      </c:scatterChart>
      <c:valAx>
        <c:axId val="-19190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045008"/>
        <c:crosses val="autoZero"/>
        <c:crossBetween val="midCat"/>
      </c:valAx>
      <c:valAx>
        <c:axId val="-1919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, 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0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Bz komponentes atkarība no ģeogrāfiskā platuma (GPS N)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3739616037178357"/>
          <c:y val="3.5520174206777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Results!$N$2:$N$26</c:f>
                <c:numCache>
                  <c:formatCode>General</c:formatCode>
                  <c:ptCount val="25"/>
                  <c:pt idx="0">
                    <c:v>11.243719870956157</c:v>
                  </c:pt>
                  <c:pt idx="1">
                    <c:v>3.0837418307260673</c:v>
                  </c:pt>
                  <c:pt idx="2">
                    <c:v>3.2252481767119083</c:v>
                  </c:pt>
                  <c:pt idx="3">
                    <c:v>3.6447942234096065</c:v>
                  </c:pt>
                  <c:pt idx="4">
                    <c:v>2.3667409655378724</c:v>
                  </c:pt>
                  <c:pt idx="5">
                    <c:v>6.7259155795058518</c:v>
                  </c:pt>
                  <c:pt idx="6">
                    <c:v>119.62595418494814</c:v>
                  </c:pt>
                  <c:pt idx="7">
                    <c:v>2.9818290635271611</c:v>
                  </c:pt>
                  <c:pt idx="8">
                    <c:v>2.5783690348875514</c:v>
                  </c:pt>
                  <c:pt idx="9">
                    <c:v>6.3345143447457311</c:v>
                  </c:pt>
                  <c:pt idx="10">
                    <c:v>2.1352827392217018</c:v>
                  </c:pt>
                  <c:pt idx="11">
                    <c:v>14.835007724071152</c:v>
                  </c:pt>
                  <c:pt idx="12">
                    <c:v>2.9430375711335723</c:v>
                  </c:pt>
                  <c:pt idx="13">
                    <c:v>12.007021314015777</c:v>
                  </c:pt>
                  <c:pt idx="14">
                    <c:v>26.828477535519887</c:v>
                  </c:pt>
                  <c:pt idx="15">
                    <c:v>2.5938374312007051</c:v>
                  </c:pt>
                  <c:pt idx="16">
                    <c:v>3.4694015657827588</c:v>
                  </c:pt>
                  <c:pt idx="17">
                    <c:v>3.7349269612511149</c:v>
                  </c:pt>
                  <c:pt idx="18">
                    <c:v>3.114650194827103</c:v>
                  </c:pt>
                  <c:pt idx="19">
                    <c:v>2.3337132215228924</c:v>
                  </c:pt>
                  <c:pt idx="20">
                    <c:v>5.3819132808092309</c:v>
                  </c:pt>
                  <c:pt idx="21">
                    <c:v>3.3690149060222945</c:v>
                  </c:pt>
                  <c:pt idx="22">
                    <c:v>2.6622266348581776</c:v>
                  </c:pt>
                  <c:pt idx="23">
                    <c:v>8.4887660550202586</c:v>
                  </c:pt>
                  <c:pt idx="24">
                    <c:v>27.744488338027057</c:v>
                  </c:pt>
                </c:numCache>
              </c:numRef>
            </c:plus>
            <c:minus>
              <c:numRef>
                <c:f>Results!$N$2:$N$26</c:f>
                <c:numCache>
                  <c:formatCode>General</c:formatCode>
                  <c:ptCount val="25"/>
                  <c:pt idx="0">
                    <c:v>11.243719870956157</c:v>
                  </c:pt>
                  <c:pt idx="1">
                    <c:v>3.0837418307260673</c:v>
                  </c:pt>
                  <c:pt idx="2">
                    <c:v>3.2252481767119083</c:v>
                  </c:pt>
                  <c:pt idx="3">
                    <c:v>3.6447942234096065</c:v>
                  </c:pt>
                  <c:pt idx="4">
                    <c:v>2.3667409655378724</c:v>
                  </c:pt>
                  <c:pt idx="5">
                    <c:v>6.7259155795058518</c:v>
                  </c:pt>
                  <c:pt idx="6">
                    <c:v>119.62595418494814</c:v>
                  </c:pt>
                  <c:pt idx="7">
                    <c:v>2.9818290635271611</c:v>
                  </c:pt>
                  <c:pt idx="8">
                    <c:v>2.5783690348875514</c:v>
                  </c:pt>
                  <c:pt idx="9">
                    <c:v>6.3345143447457311</c:v>
                  </c:pt>
                  <c:pt idx="10">
                    <c:v>2.1352827392217018</c:v>
                  </c:pt>
                  <c:pt idx="11">
                    <c:v>14.835007724071152</c:v>
                  </c:pt>
                  <c:pt idx="12">
                    <c:v>2.9430375711335723</c:v>
                  </c:pt>
                  <c:pt idx="13">
                    <c:v>12.007021314015777</c:v>
                  </c:pt>
                  <c:pt idx="14">
                    <c:v>26.828477535519887</c:v>
                  </c:pt>
                  <c:pt idx="15">
                    <c:v>2.5938374312007051</c:v>
                  </c:pt>
                  <c:pt idx="16">
                    <c:v>3.4694015657827588</c:v>
                  </c:pt>
                  <c:pt idx="17">
                    <c:v>3.7349269612511149</c:v>
                  </c:pt>
                  <c:pt idx="18">
                    <c:v>3.114650194827103</c:v>
                  </c:pt>
                  <c:pt idx="19">
                    <c:v>2.3337132215228924</c:v>
                  </c:pt>
                  <c:pt idx="20">
                    <c:v>5.3819132808092309</c:v>
                  </c:pt>
                  <c:pt idx="21">
                    <c:v>3.3690149060222945</c:v>
                  </c:pt>
                  <c:pt idx="22">
                    <c:v>2.6622266348581776</c:v>
                  </c:pt>
                  <c:pt idx="23">
                    <c:v>8.4887660550202586</c:v>
                  </c:pt>
                  <c:pt idx="24">
                    <c:v>27.744488338027057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3EB-B98C-24A6142CEFD7}"/>
            </c:ext>
          </c:extLst>
        </c:ser>
        <c:ser>
          <c:idx val="1"/>
          <c:order val="1"/>
          <c:tx>
            <c:v>Bz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Results!$AE$2:$AE$26</c:f>
              <c:numCache>
                <c:formatCode>General</c:formatCode>
                <c:ptCount val="25"/>
                <c:pt idx="0">
                  <c:v>16074.2</c:v>
                </c:pt>
                <c:pt idx="1">
                  <c:v>16039.7</c:v>
                </c:pt>
                <c:pt idx="2">
                  <c:v>16036.5</c:v>
                </c:pt>
                <c:pt idx="3">
                  <c:v>16036.6</c:v>
                </c:pt>
                <c:pt idx="4">
                  <c:v>16030.7</c:v>
                </c:pt>
                <c:pt idx="5">
                  <c:v>16030.7</c:v>
                </c:pt>
                <c:pt idx="6">
                  <c:v>16021.9</c:v>
                </c:pt>
                <c:pt idx="7">
                  <c:v>16021.5</c:v>
                </c:pt>
                <c:pt idx="8">
                  <c:v>16002.9</c:v>
                </c:pt>
                <c:pt idx="9">
                  <c:v>16066.1</c:v>
                </c:pt>
                <c:pt idx="10">
                  <c:v>16066.5</c:v>
                </c:pt>
                <c:pt idx="11">
                  <c:v>16066.3</c:v>
                </c:pt>
                <c:pt idx="12">
                  <c:v>16063.9</c:v>
                </c:pt>
                <c:pt idx="13">
                  <c:v>16052.9</c:v>
                </c:pt>
                <c:pt idx="14">
                  <c:v>16052.4</c:v>
                </c:pt>
                <c:pt idx="15">
                  <c:v>16052.5</c:v>
                </c:pt>
                <c:pt idx="16">
                  <c:v>16049.5</c:v>
                </c:pt>
                <c:pt idx="17">
                  <c:v>16046.8</c:v>
                </c:pt>
                <c:pt idx="18">
                  <c:v>16047.2</c:v>
                </c:pt>
                <c:pt idx="19">
                  <c:v>16043.4</c:v>
                </c:pt>
                <c:pt idx="20">
                  <c:v>16041.1</c:v>
                </c:pt>
                <c:pt idx="21">
                  <c:v>16041.1</c:v>
                </c:pt>
                <c:pt idx="22">
                  <c:v>16041.2</c:v>
                </c:pt>
                <c:pt idx="23">
                  <c:v>16041.2</c:v>
                </c:pt>
                <c:pt idx="24">
                  <c:v>16040.9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A-4F27-A3D4-7F033FD41F1D}"/>
            </c:ext>
          </c:extLst>
        </c:ser>
        <c:ser>
          <c:idx val="2"/>
          <c:order val="2"/>
          <c:tx>
            <c:v>Bz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Results!$AB$2:$AB$26</c:f>
              <c:numCache>
                <c:formatCode>General</c:formatCode>
                <c:ptCount val="25"/>
                <c:pt idx="0">
                  <c:v>16091.2</c:v>
                </c:pt>
                <c:pt idx="1">
                  <c:v>16056.1</c:v>
                </c:pt>
                <c:pt idx="2">
                  <c:v>16052.9</c:v>
                </c:pt>
                <c:pt idx="3">
                  <c:v>16053</c:v>
                </c:pt>
                <c:pt idx="4">
                  <c:v>16047</c:v>
                </c:pt>
                <c:pt idx="5">
                  <c:v>16047</c:v>
                </c:pt>
                <c:pt idx="6">
                  <c:v>16038.1</c:v>
                </c:pt>
                <c:pt idx="7">
                  <c:v>16037.6</c:v>
                </c:pt>
                <c:pt idx="8">
                  <c:v>16018.8</c:v>
                </c:pt>
                <c:pt idx="9">
                  <c:v>16082.9</c:v>
                </c:pt>
                <c:pt idx="10">
                  <c:v>16083.4</c:v>
                </c:pt>
                <c:pt idx="11">
                  <c:v>16083.1</c:v>
                </c:pt>
                <c:pt idx="12">
                  <c:v>16080.7</c:v>
                </c:pt>
                <c:pt idx="13">
                  <c:v>16069.5</c:v>
                </c:pt>
                <c:pt idx="14">
                  <c:v>16069.1</c:v>
                </c:pt>
                <c:pt idx="15">
                  <c:v>16069.1</c:v>
                </c:pt>
                <c:pt idx="16">
                  <c:v>16066.1</c:v>
                </c:pt>
                <c:pt idx="17">
                  <c:v>16063.4</c:v>
                </c:pt>
                <c:pt idx="18">
                  <c:v>16063.7</c:v>
                </c:pt>
                <c:pt idx="19">
                  <c:v>16059.9</c:v>
                </c:pt>
                <c:pt idx="20">
                  <c:v>16057.5</c:v>
                </c:pt>
                <c:pt idx="21">
                  <c:v>16057.5</c:v>
                </c:pt>
                <c:pt idx="22">
                  <c:v>16057.6</c:v>
                </c:pt>
                <c:pt idx="23">
                  <c:v>16057.6</c:v>
                </c:pt>
                <c:pt idx="24">
                  <c:v>16255.9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F-4C4C-9463-84A79E2C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10656"/>
        <c:axId val="-2136109024"/>
      </c:scatterChart>
      <c:valAx>
        <c:axId val="-21361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09024"/>
        <c:crosses val="autoZero"/>
        <c:crossBetween val="midCat"/>
      </c:valAx>
      <c:valAx>
        <c:axId val="-21361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Bx komponentes atkarība no ģeogrāfiskā garuma (GPS E)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Results!$L$2:$L$26</c:f>
                <c:numCache>
                  <c:formatCode>General</c:formatCode>
                  <c:ptCount val="25"/>
                  <c:pt idx="0">
                    <c:v>16.102284750963925</c:v>
                  </c:pt>
                  <c:pt idx="1">
                    <c:v>2.6776735999539958</c:v>
                  </c:pt>
                  <c:pt idx="2">
                    <c:v>1.6233255367351245</c:v>
                  </c:pt>
                  <c:pt idx="3">
                    <c:v>2.0163177571435176</c:v>
                  </c:pt>
                  <c:pt idx="4">
                    <c:v>2.41213164390801</c:v>
                  </c:pt>
                  <c:pt idx="5">
                    <c:v>14.42405334278555</c:v>
                  </c:pt>
                  <c:pt idx="6">
                    <c:v>6.0115152839778467</c:v>
                  </c:pt>
                  <c:pt idx="7">
                    <c:v>2.6287207373625008</c:v>
                  </c:pt>
                  <c:pt idx="8">
                    <c:v>1.9768156608095047</c:v>
                  </c:pt>
                  <c:pt idx="9">
                    <c:v>5.5591816178845121</c:v>
                  </c:pt>
                  <c:pt idx="10">
                    <c:v>2.0743607377673752</c:v>
                  </c:pt>
                  <c:pt idx="11">
                    <c:v>9.6918893090069922</c:v>
                  </c:pt>
                  <c:pt idx="12">
                    <c:v>2.8510853693623517</c:v>
                  </c:pt>
                  <c:pt idx="13">
                    <c:v>22.244876248882843</c:v>
                  </c:pt>
                  <c:pt idx="14">
                    <c:v>24.1457853784874</c:v>
                  </c:pt>
                  <c:pt idx="15">
                    <c:v>2.0231395872056712</c:v>
                  </c:pt>
                  <c:pt idx="16">
                    <c:v>3.396918909916419</c:v>
                  </c:pt>
                  <c:pt idx="17">
                    <c:v>22.70637656843628</c:v>
                  </c:pt>
                  <c:pt idx="18">
                    <c:v>2.0646053644954763</c:v>
                  </c:pt>
                  <c:pt idx="19">
                    <c:v>1.9154560413208106</c:v>
                  </c:pt>
                  <c:pt idx="20">
                    <c:v>7.7041921924228527</c:v>
                  </c:pt>
                  <c:pt idx="21">
                    <c:v>3.7911269714902938</c:v>
                  </c:pt>
                  <c:pt idx="22">
                    <c:v>2.410998759657458</c:v>
                  </c:pt>
                  <c:pt idx="23">
                    <c:v>4.5264837337836337</c:v>
                  </c:pt>
                  <c:pt idx="24">
                    <c:v>36.938193499517574</c:v>
                  </c:pt>
                </c:numCache>
              </c:numRef>
            </c:plus>
            <c:minus>
              <c:numRef>
                <c:f>Results!$L$2:$L$26</c:f>
                <c:numCache>
                  <c:formatCode>General</c:formatCode>
                  <c:ptCount val="25"/>
                  <c:pt idx="0">
                    <c:v>16.102284750963925</c:v>
                  </c:pt>
                  <c:pt idx="1">
                    <c:v>2.6776735999539958</c:v>
                  </c:pt>
                  <c:pt idx="2">
                    <c:v>1.6233255367351245</c:v>
                  </c:pt>
                  <c:pt idx="3">
                    <c:v>2.0163177571435176</c:v>
                  </c:pt>
                  <c:pt idx="4">
                    <c:v>2.41213164390801</c:v>
                  </c:pt>
                  <c:pt idx="5">
                    <c:v>14.42405334278555</c:v>
                  </c:pt>
                  <c:pt idx="6">
                    <c:v>6.0115152839778467</c:v>
                  </c:pt>
                  <c:pt idx="7">
                    <c:v>2.6287207373625008</c:v>
                  </c:pt>
                  <c:pt idx="8">
                    <c:v>1.9768156608095047</c:v>
                  </c:pt>
                  <c:pt idx="9">
                    <c:v>5.5591816178845121</c:v>
                  </c:pt>
                  <c:pt idx="10">
                    <c:v>2.0743607377673752</c:v>
                  </c:pt>
                  <c:pt idx="11">
                    <c:v>9.6918893090069922</c:v>
                  </c:pt>
                  <c:pt idx="12">
                    <c:v>2.8510853693623517</c:v>
                  </c:pt>
                  <c:pt idx="13">
                    <c:v>22.244876248882843</c:v>
                  </c:pt>
                  <c:pt idx="14">
                    <c:v>24.1457853784874</c:v>
                  </c:pt>
                  <c:pt idx="15">
                    <c:v>2.0231395872056712</c:v>
                  </c:pt>
                  <c:pt idx="16">
                    <c:v>3.396918909916419</c:v>
                  </c:pt>
                  <c:pt idx="17">
                    <c:v>22.70637656843628</c:v>
                  </c:pt>
                  <c:pt idx="18">
                    <c:v>2.0646053644954763</c:v>
                  </c:pt>
                  <c:pt idx="19">
                    <c:v>1.9154560413208106</c:v>
                  </c:pt>
                  <c:pt idx="20">
                    <c:v>7.7041921924228527</c:v>
                  </c:pt>
                  <c:pt idx="21">
                    <c:v>3.7911269714902938</c:v>
                  </c:pt>
                  <c:pt idx="22">
                    <c:v>2.410998759657458</c:v>
                  </c:pt>
                  <c:pt idx="23">
                    <c:v>4.5264837337836337</c:v>
                  </c:pt>
                  <c:pt idx="24">
                    <c:v>36.938193499517574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3-402C-AF4F-CFB59BE428D5}"/>
            </c:ext>
          </c:extLst>
        </c:ser>
        <c:ser>
          <c:idx val="1"/>
          <c:order val="1"/>
          <c:tx>
            <c:v>Bx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Results!$AC$2:$AC$26</c:f>
              <c:numCache>
                <c:formatCode>General</c:formatCode>
                <c:ptCount val="25"/>
                <c:pt idx="0">
                  <c:v>2534.6999999999998</c:v>
                </c:pt>
                <c:pt idx="1">
                  <c:v>2532.3000000000002</c:v>
                </c:pt>
                <c:pt idx="2">
                  <c:v>2532.6999999999998</c:v>
                </c:pt>
                <c:pt idx="3">
                  <c:v>2532.5</c:v>
                </c:pt>
                <c:pt idx="4">
                  <c:v>2531.6999999999998</c:v>
                </c:pt>
                <c:pt idx="5">
                  <c:v>2531.6999999999998</c:v>
                </c:pt>
                <c:pt idx="6">
                  <c:v>2531.1</c:v>
                </c:pt>
                <c:pt idx="7">
                  <c:v>2531.1999999999998</c:v>
                </c:pt>
                <c:pt idx="8">
                  <c:v>2531.4</c:v>
                </c:pt>
                <c:pt idx="9">
                  <c:v>2534.8000000000002</c:v>
                </c:pt>
                <c:pt idx="10">
                  <c:v>2534.5</c:v>
                </c:pt>
                <c:pt idx="11">
                  <c:v>2534.6</c:v>
                </c:pt>
                <c:pt idx="12">
                  <c:v>2534.1</c:v>
                </c:pt>
                <c:pt idx="13">
                  <c:v>2533.8000000000002</c:v>
                </c:pt>
                <c:pt idx="14">
                  <c:v>2533.3000000000002</c:v>
                </c:pt>
                <c:pt idx="15">
                  <c:v>2533</c:v>
                </c:pt>
                <c:pt idx="16">
                  <c:v>2533.1999999999998</c:v>
                </c:pt>
                <c:pt idx="17">
                  <c:v>2532.6</c:v>
                </c:pt>
                <c:pt idx="18">
                  <c:v>2532.6</c:v>
                </c:pt>
                <c:pt idx="19">
                  <c:v>2532.3000000000002</c:v>
                </c:pt>
                <c:pt idx="20">
                  <c:v>2532.1999999999998</c:v>
                </c:pt>
                <c:pt idx="21">
                  <c:v>2532.1999999999998</c:v>
                </c:pt>
                <c:pt idx="22">
                  <c:v>2532.1999999999998</c:v>
                </c:pt>
                <c:pt idx="23">
                  <c:v>2532.1</c:v>
                </c:pt>
                <c:pt idx="24">
                  <c:v>2532.1999999999998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E-46FD-8585-0FEA77C3DC0A}"/>
            </c:ext>
          </c:extLst>
        </c:ser>
        <c:ser>
          <c:idx val="2"/>
          <c:order val="2"/>
          <c:tx>
            <c:v>Bx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Results!$Z$2:$Z$26</c:f>
              <c:numCache>
                <c:formatCode>General</c:formatCode>
                <c:ptCount val="25"/>
                <c:pt idx="0">
                  <c:v>2535.1999999999998</c:v>
                </c:pt>
                <c:pt idx="1">
                  <c:v>2533.1999999999998</c:v>
                </c:pt>
                <c:pt idx="2">
                  <c:v>2533.5</c:v>
                </c:pt>
                <c:pt idx="3">
                  <c:v>2533.3000000000002</c:v>
                </c:pt>
                <c:pt idx="4">
                  <c:v>2532.6</c:v>
                </c:pt>
                <c:pt idx="5">
                  <c:v>2532.6</c:v>
                </c:pt>
                <c:pt idx="6">
                  <c:v>2532</c:v>
                </c:pt>
                <c:pt idx="7">
                  <c:v>2532</c:v>
                </c:pt>
                <c:pt idx="8">
                  <c:v>2532.1999999999998</c:v>
                </c:pt>
                <c:pt idx="9">
                  <c:v>2535.3000000000002</c:v>
                </c:pt>
                <c:pt idx="10">
                  <c:v>2535.1</c:v>
                </c:pt>
                <c:pt idx="11">
                  <c:v>2535.1</c:v>
                </c:pt>
                <c:pt idx="12">
                  <c:v>2534.6</c:v>
                </c:pt>
                <c:pt idx="13">
                  <c:v>2534.4</c:v>
                </c:pt>
                <c:pt idx="14">
                  <c:v>2533.8000000000002</c:v>
                </c:pt>
                <c:pt idx="15">
                  <c:v>2533.5</c:v>
                </c:pt>
                <c:pt idx="16">
                  <c:v>2533.6999999999998</c:v>
                </c:pt>
                <c:pt idx="17">
                  <c:v>2533.1</c:v>
                </c:pt>
                <c:pt idx="18">
                  <c:v>2533.1999999999998</c:v>
                </c:pt>
                <c:pt idx="19">
                  <c:v>2532.9</c:v>
                </c:pt>
                <c:pt idx="20">
                  <c:v>2533</c:v>
                </c:pt>
                <c:pt idx="21">
                  <c:v>2533</c:v>
                </c:pt>
                <c:pt idx="22">
                  <c:v>2533</c:v>
                </c:pt>
                <c:pt idx="23">
                  <c:v>2533</c:v>
                </c:pt>
                <c:pt idx="24">
                  <c:v>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2-4570-AE8B-8FE70164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6464"/>
        <c:axId val="-1973715376"/>
      </c:scatterChart>
      <c:valAx>
        <c:axId val="-19737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5376"/>
        <c:crosses val="autoZero"/>
        <c:crossBetween val="midCat"/>
      </c:valAx>
      <c:valAx>
        <c:axId val="-1973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By komonentes atkarība no ģeogrāfiskā garuma (GPS E)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Results!$M$2:$M$26</c:f>
                <c:numCache>
                  <c:formatCode>General</c:formatCode>
                  <c:ptCount val="25"/>
                  <c:pt idx="0">
                    <c:v>59.082494600635826</c:v>
                  </c:pt>
                  <c:pt idx="1">
                    <c:v>6.9136465445490591</c:v>
                  </c:pt>
                  <c:pt idx="2">
                    <c:v>9.4229169608909249</c:v>
                  </c:pt>
                  <c:pt idx="3">
                    <c:v>7.225946749161257</c:v>
                  </c:pt>
                  <c:pt idx="4">
                    <c:v>1.4038894024817572</c:v>
                  </c:pt>
                  <c:pt idx="5">
                    <c:v>13.620856320565929</c:v>
                  </c:pt>
                  <c:pt idx="6">
                    <c:v>100.23560746796552</c:v>
                  </c:pt>
                  <c:pt idx="7">
                    <c:v>6.298308439648058</c:v>
                  </c:pt>
                  <c:pt idx="8">
                    <c:v>2.9069545483747783</c:v>
                  </c:pt>
                  <c:pt idx="9">
                    <c:v>4.7571436012850725</c:v>
                  </c:pt>
                  <c:pt idx="10">
                    <c:v>5.6859833955860264</c:v>
                  </c:pt>
                  <c:pt idx="11">
                    <c:v>2.5298409860335278</c:v>
                  </c:pt>
                  <c:pt idx="12">
                    <c:v>8.6895728531057994</c:v>
                  </c:pt>
                  <c:pt idx="13">
                    <c:v>94.482556455640093</c:v>
                  </c:pt>
                  <c:pt idx="14">
                    <c:v>81.728067532938312</c:v>
                  </c:pt>
                  <c:pt idx="15">
                    <c:v>5.4385611393741842</c:v>
                  </c:pt>
                  <c:pt idx="16">
                    <c:v>94.576441716137353</c:v>
                  </c:pt>
                  <c:pt idx="17">
                    <c:v>6.6568424475060866</c:v>
                  </c:pt>
                  <c:pt idx="18">
                    <c:v>4.5724902554410329</c:v>
                  </c:pt>
                  <c:pt idx="19">
                    <c:v>7.651083241679701</c:v>
                  </c:pt>
                  <c:pt idx="20">
                    <c:v>13.666593755884549</c:v>
                  </c:pt>
                  <c:pt idx="21">
                    <c:v>16.777618372250533</c:v>
                  </c:pt>
                  <c:pt idx="22">
                    <c:v>10.143672386347406</c:v>
                  </c:pt>
                  <c:pt idx="23">
                    <c:v>10.636004822602448</c:v>
                  </c:pt>
                  <c:pt idx="24">
                    <c:v>29.370715974745433</c:v>
                  </c:pt>
                </c:numCache>
              </c:numRef>
            </c:plus>
            <c:minus>
              <c:numRef>
                <c:f>Results!$M$2:$M$26</c:f>
                <c:numCache>
                  <c:formatCode>General</c:formatCode>
                  <c:ptCount val="25"/>
                  <c:pt idx="0">
                    <c:v>59.082494600635826</c:v>
                  </c:pt>
                  <c:pt idx="1">
                    <c:v>6.9136465445490591</c:v>
                  </c:pt>
                  <c:pt idx="2">
                    <c:v>9.4229169608909249</c:v>
                  </c:pt>
                  <c:pt idx="3">
                    <c:v>7.225946749161257</c:v>
                  </c:pt>
                  <c:pt idx="4">
                    <c:v>1.4038894024817572</c:v>
                  </c:pt>
                  <c:pt idx="5">
                    <c:v>13.620856320565929</c:v>
                  </c:pt>
                  <c:pt idx="6">
                    <c:v>100.23560746796552</c:v>
                  </c:pt>
                  <c:pt idx="7">
                    <c:v>6.298308439648058</c:v>
                  </c:pt>
                  <c:pt idx="8">
                    <c:v>2.9069545483747783</c:v>
                  </c:pt>
                  <c:pt idx="9">
                    <c:v>4.7571436012850725</c:v>
                  </c:pt>
                  <c:pt idx="10">
                    <c:v>5.6859833955860264</c:v>
                  </c:pt>
                  <c:pt idx="11">
                    <c:v>2.5298409860335278</c:v>
                  </c:pt>
                  <c:pt idx="12">
                    <c:v>8.6895728531057994</c:v>
                  </c:pt>
                  <c:pt idx="13">
                    <c:v>94.482556455640093</c:v>
                  </c:pt>
                  <c:pt idx="14">
                    <c:v>81.728067532938312</c:v>
                  </c:pt>
                  <c:pt idx="15">
                    <c:v>5.4385611393741842</c:v>
                  </c:pt>
                  <c:pt idx="16">
                    <c:v>94.576441716137353</c:v>
                  </c:pt>
                  <c:pt idx="17">
                    <c:v>6.6568424475060866</c:v>
                  </c:pt>
                  <c:pt idx="18">
                    <c:v>4.5724902554410329</c:v>
                  </c:pt>
                  <c:pt idx="19">
                    <c:v>7.651083241679701</c:v>
                  </c:pt>
                  <c:pt idx="20">
                    <c:v>13.666593755884549</c:v>
                  </c:pt>
                  <c:pt idx="21">
                    <c:v>16.777618372250533</c:v>
                  </c:pt>
                  <c:pt idx="22">
                    <c:v>10.143672386347406</c:v>
                  </c:pt>
                  <c:pt idx="23">
                    <c:v>10.636004822602448</c:v>
                  </c:pt>
                  <c:pt idx="24">
                    <c:v>29.370715974745433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C-4897-B212-A29FD7A44450}"/>
            </c:ext>
          </c:extLst>
        </c:ser>
        <c:ser>
          <c:idx val="1"/>
          <c:order val="1"/>
          <c:tx>
            <c:v>By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Results!$AD$2:$AD$26</c:f>
              <c:numCache>
                <c:formatCode>General</c:formatCode>
                <c:ptCount val="25"/>
                <c:pt idx="0">
                  <c:v>-49167.7</c:v>
                </c:pt>
                <c:pt idx="1">
                  <c:v>-49191.9</c:v>
                </c:pt>
                <c:pt idx="2">
                  <c:v>-49194.7</c:v>
                </c:pt>
                <c:pt idx="3">
                  <c:v>-49194.400000000001</c:v>
                </c:pt>
                <c:pt idx="4">
                  <c:v>-49198.2</c:v>
                </c:pt>
                <c:pt idx="5">
                  <c:v>-49198.2</c:v>
                </c:pt>
                <c:pt idx="6">
                  <c:v>-49204.4</c:v>
                </c:pt>
                <c:pt idx="7">
                  <c:v>-49204.800000000003</c:v>
                </c:pt>
                <c:pt idx="8">
                  <c:v>-49219.1</c:v>
                </c:pt>
                <c:pt idx="9">
                  <c:v>-49174</c:v>
                </c:pt>
                <c:pt idx="10">
                  <c:v>-49173.4</c:v>
                </c:pt>
                <c:pt idx="11">
                  <c:v>-49173.7</c:v>
                </c:pt>
                <c:pt idx="12">
                  <c:v>-49175</c:v>
                </c:pt>
                <c:pt idx="13">
                  <c:v>-49183.3</c:v>
                </c:pt>
                <c:pt idx="14">
                  <c:v>-49183.1</c:v>
                </c:pt>
                <c:pt idx="15">
                  <c:v>-49182.7</c:v>
                </c:pt>
                <c:pt idx="16">
                  <c:v>-49185.2</c:v>
                </c:pt>
                <c:pt idx="17">
                  <c:v>-49186.7</c:v>
                </c:pt>
                <c:pt idx="18">
                  <c:v>-49186.5</c:v>
                </c:pt>
                <c:pt idx="19">
                  <c:v>-49189.1</c:v>
                </c:pt>
                <c:pt idx="20">
                  <c:v>-49190.7</c:v>
                </c:pt>
                <c:pt idx="21">
                  <c:v>-49190.7</c:v>
                </c:pt>
                <c:pt idx="22">
                  <c:v>-49190.6</c:v>
                </c:pt>
                <c:pt idx="23">
                  <c:v>-49190.6</c:v>
                </c:pt>
                <c:pt idx="24">
                  <c:v>-49190.9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8-408A-B7D4-B99F844912DB}"/>
            </c:ext>
          </c:extLst>
        </c:ser>
        <c:ser>
          <c:idx val="2"/>
          <c:order val="2"/>
          <c:tx>
            <c:v>By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Results!$AA$2:$AA$26</c:f>
              <c:numCache>
                <c:formatCode>General</c:formatCode>
                <c:ptCount val="25"/>
                <c:pt idx="0">
                  <c:v>-49223.1</c:v>
                </c:pt>
                <c:pt idx="1">
                  <c:v>-49247.8</c:v>
                </c:pt>
                <c:pt idx="2">
                  <c:v>-49250.6</c:v>
                </c:pt>
                <c:pt idx="3">
                  <c:v>-49250.3</c:v>
                </c:pt>
                <c:pt idx="4">
                  <c:v>-49254.2</c:v>
                </c:pt>
                <c:pt idx="5">
                  <c:v>-49254.2</c:v>
                </c:pt>
                <c:pt idx="6">
                  <c:v>-49260.4</c:v>
                </c:pt>
                <c:pt idx="7">
                  <c:v>-49206.8</c:v>
                </c:pt>
                <c:pt idx="8">
                  <c:v>-49275.199999999997</c:v>
                </c:pt>
                <c:pt idx="9">
                  <c:v>-49229.4</c:v>
                </c:pt>
                <c:pt idx="10">
                  <c:v>-49228.9</c:v>
                </c:pt>
                <c:pt idx="11">
                  <c:v>-49229.1</c:v>
                </c:pt>
                <c:pt idx="12">
                  <c:v>-49230.5</c:v>
                </c:pt>
                <c:pt idx="13">
                  <c:v>-49238.7</c:v>
                </c:pt>
                <c:pt idx="14">
                  <c:v>-49238.5</c:v>
                </c:pt>
                <c:pt idx="15">
                  <c:v>-49238.2</c:v>
                </c:pt>
                <c:pt idx="16">
                  <c:v>-49240.7</c:v>
                </c:pt>
                <c:pt idx="17">
                  <c:v>-49242.2</c:v>
                </c:pt>
                <c:pt idx="18">
                  <c:v>-49242</c:v>
                </c:pt>
                <c:pt idx="19">
                  <c:v>-49244.6</c:v>
                </c:pt>
                <c:pt idx="20">
                  <c:v>-49246.7</c:v>
                </c:pt>
                <c:pt idx="21">
                  <c:v>-49246.6</c:v>
                </c:pt>
                <c:pt idx="22">
                  <c:v>-49246.6</c:v>
                </c:pt>
                <c:pt idx="23">
                  <c:v>-49246.5</c:v>
                </c:pt>
                <c:pt idx="24">
                  <c:v>-49246.8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260-9795-2F530B74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1024"/>
        <c:axId val="-1973714288"/>
      </c:scatterChart>
      <c:valAx>
        <c:axId val="-1973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4288"/>
        <c:crosses val="autoZero"/>
        <c:crossBetween val="midCat"/>
      </c:valAx>
      <c:valAx>
        <c:axId val="-19737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Magnētiskā lauka indukcijas Bz komponentes atkarība no ģeogrāfiskā garuma (GPS E)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eksperiment.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Results!$N$2:$N$26</c:f>
                <c:numCache>
                  <c:formatCode>General</c:formatCode>
                  <c:ptCount val="25"/>
                  <c:pt idx="0">
                    <c:v>11.243719870956157</c:v>
                  </c:pt>
                  <c:pt idx="1">
                    <c:v>3.0837418307260673</c:v>
                  </c:pt>
                  <c:pt idx="2">
                    <c:v>3.2252481767119083</c:v>
                  </c:pt>
                  <c:pt idx="3">
                    <c:v>3.6447942234096065</c:v>
                  </c:pt>
                  <c:pt idx="4">
                    <c:v>2.3667409655378724</c:v>
                  </c:pt>
                  <c:pt idx="5">
                    <c:v>6.7259155795058518</c:v>
                  </c:pt>
                  <c:pt idx="6">
                    <c:v>119.62595418494814</c:v>
                  </c:pt>
                  <c:pt idx="7">
                    <c:v>2.9818290635271611</c:v>
                  </c:pt>
                  <c:pt idx="8">
                    <c:v>2.5783690348875514</c:v>
                  </c:pt>
                  <c:pt idx="9">
                    <c:v>6.3345143447457311</c:v>
                  </c:pt>
                  <c:pt idx="10">
                    <c:v>2.1352827392217018</c:v>
                  </c:pt>
                  <c:pt idx="11">
                    <c:v>14.835007724071152</c:v>
                  </c:pt>
                  <c:pt idx="12">
                    <c:v>2.9430375711335723</c:v>
                  </c:pt>
                  <c:pt idx="13">
                    <c:v>12.007021314015777</c:v>
                  </c:pt>
                  <c:pt idx="14">
                    <c:v>26.828477535519887</c:v>
                  </c:pt>
                  <c:pt idx="15">
                    <c:v>2.5938374312007051</c:v>
                  </c:pt>
                  <c:pt idx="16">
                    <c:v>3.4694015657827588</c:v>
                  </c:pt>
                  <c:pt idx="17">
                    <c:v>3.7349269612511149</c:v>
                  </c:pt>
                  <c:pt idx="18">
                    <c:v>3.114650194827103</c:v>
                  </c:pt>
                  <c:pt idx="19">
                    <c:v>2.3337132215228924</c:v>
                  </c:pt>
                  <c:pt idx="20">
                    <c:v>5.3819132808092309</c:v>
                  </c:pt>
                  <c:pt idx="21">
                    <c:v>3.3690149060222945</c:v>
                  </c:pt>
                  <c:pt idx="22">
                    <c:v>2.6622266348581776</c:v>
                  </c:pt>
                  <c:pt idx="23">
                    <c:v>8.4887660550202586</c:v>
                  </c:pt>
                  <c:pt idx="24">
                    <c:v>27.744488338027057</c:v>
                  </c:pt>
                </c:numCache>
              </c:numRef>
            </c:plus>
            <c:minus>
              <c:numRef>
                <c:f>Results!$N$2:$N$26</c:f>
                <c:numCache>
                  <c:formatCode>General</c:formatCode>
                  <c:ptCount val="25"/>
                  <c:pt idx="0">
                    <c:v>11.243719870956157</c:v>
                  </c:pt>
                  <c:pt idx="1">
                    <c:v>3.0837418307260673</c:v>
                  </c:pt>
                  <c:pt idx="2">
                    <c:v>3.2252481767119083</c:v>
                  </c:pt>
                  <c:pt idx="3">
                    <c:v>3.6447942234096065</c:v>
                  </c:pt>
                  <c:pt idx="4">
                    <c:v>2.3667409655378724</c:v>
                  </c:pt>
                  <c:pt idx="5">
                    <c:v>6.7259155795058518</c:v>
                  </c:pt>
                  <c:pt idx="6">
                    <c:v>119.62595418494814</c:v>
                  </c:pt>
                  <c:pt idx="7">
                    <c:v>2.9818290635271611</c:v>
                  </c:pt>
                  <c:pt idx="8">
                    <c:v>2.5783690348875514</c:v>
                  </c:pt>
                  <c:pt idx="9">
                    <c:v>6.3345143447457311</c:v>
                  </c:pt>
                  <c:pt idx="10">
                    <c:v>2.1352827392217018</c:v>
                  </c:pt>
                  <c:pt idx="11">
                    <c:v>14.835007724071152</c:v>
                  </c:pt>
                  <c:pt idx="12">
                    <c:v>2.9430375711335723</c:v>
                  </c:pt>
                  <c:pt idx="13">
                    <c:v>12.007021314015777</c:v>
                  </c:pt>
                  <c:pt idx="14">
                    <c:v>26.828477535519887</c:v>
                  </c:pt>
                  <c:pt idx="15">
                    <c:v>2.5938374312007051</c:v>
                  </c:pt>
                  <c:pt idx="16">
                    <c:v>3.4694015657827588</c:v>
                  </c:pt>
                  <c:pt idx="17">
                    <c:v>3.7349269612511149</c:v>
                  </c:pt>
                  <c:pt idx="18">
                    <c:v>3.114650194827103</c:v>
                  </c:pt>
                  <c:pt idx="19">
                    <c:v>2.3337132215228924</c:v>
                  </c:pt>
                  <c:pt idx="20">
                    <c:v>5.3819132808092309</c:v>
                  </c:pt>
                  <c:pt idx="21">
                    <c:v>3.3690149060222945</c:v>
                  </c:pt>
                  <c:pt idx="22">
                    <c:v>2.6622266348581776</c:v>
                  </c:pt>
                  <c:pt idx="23">
                    <c:v>8.4887660550202586</c:v>
                  </c:pt>
                  <c:pt idx="24">
                    <c:v>27.744488338027057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C-4391-B186-5898A91838FF}"/>
            </c:ext>
          </c:extLst>
        </c:ser>
        <c:ser>
          <c:idx val="1"/>
          <c:order val="1"/>
          <c:tx>
            <c:v>Bz teor. (WMM)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Results!$AE$2:$AE$26</c:f>
              <c:numCache>
                <c:formatCode>General</c:formatCode>
                <c:ptCount val="25"/>
                <c:pt idx="0">
                  <c:v>16074.2</c:v>
                </c:pt>
                <c:pt idx="1">
                  <c:v>16039.7</c:v>
                </c:pt>
                <c:pt idx="2">
                  <c:v>16036.5</c:v>
                </c:pt>
                <c:pt idx="3">
                  <c:v>16036.6</c:v>
                </c:pt>
                <c:pt idx="4">
                  <c:v>16030.7</c:v>
                </c:pt>
                <c:pt idx="5">
                  <c:v>16030.7</c:v>
                </c:pt>
                <c:pt idx="6">
                  <c:v>16021.9</c:v>
                </c:pt>
                <c:pt idx="7">
                  <c:v>16021.5</c:v>
                </c:pt>
                <c:pt idx="8">
                  <c:v>16002.9</c:v>
                </c:pt>
                <c:pt idx="9">
                  <c:v>16066.1</c:v>
                </c:pt>
                <c:pt idx="10">
                  <c:v>16066.5</c:v>
                </c:pt>
                <c:pt idx="11">
                  <c:v>16066.3</c:v>
                </c:pt>
                <c:pt idx="12">
                  <c:v>16063.9</c:v>
                </c:pt>
                <c:pt idx="13">
                  <c:v>16052.9</c:v>
                </c:pt>
                <c:pt idx="14">
                  <c:v>16052.4</c:v>
                </c:pt>
                <c:pt idx="15">
                  <c:v>16052.5</c:v>
                </c:pt>
                <c:pt idx="16">
                  <c:v>16049.5</c:v>
                </c:pt>
                <c:pt idx="17">
                  <c:v>16046.8</c:v>
                </c:pt>
                <c:pt idx="18">
                  <c:v>16047.2</c:v>
                </c:pt>
                <c:pt idx="19">
                  <c:v>16043.4</c:v>
                </c:pt>
                <c:pt idx="20">
                  <c:v>16041.1</c:v>
                </c:pt>
                <c:pt idx="21">
                  <c:v>16041.1</c:v>
                </c:pt>
                <c:pt idx="22">
                  <c:v>16041.2</c:v>
                </c:pt>
                <c:pt idx="23">
                  <c:v>16041.2</c:v>
                </c:pt>
                <c:pt idx="24">
                  <c:v>16040.9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2-40AA-AF69-7BE623327BC6}"/>
            </c:ext>
          </c:extLst>
        </c:ser>
        <c:ser>
          <c:idx val="2"/>
          <c:order val="2"/>
          <c:tx>
            <c:v>Bz teor. (IGRF)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Results!$AB$2:$AB$26</c:f>
              <c:numCache>
                <c:formatCode>General</c:formatCode>
                <c:ptCount val="25"/>
                <c:pt idx="0">
                  <c:v>16091.2</c:v>
                </c:pt>
                <c:pt idx="1">
                  <c:v>16056.1</c:v>
                </c:pt>
                <c:pt idx="2">
                  <c:v>16052.9</c:v>
                </c:pt>
                <c:pt idx="3">
                  <c:v>16053</c:v>
                </c:pt>
                <c:pt idx="4">
                  <c:v>16047</c:v>
                </c:pt>
                <c:pt idx="5">
                  <c:v>16047</c:v>
                </c:pt>
                <c:pt idx="6">
                  <c:v>16038.1</c:v>
                </c:pt>
                <c:pt idx="7">
                  <c:v>16037.6</c:v>
                </c:pt>
                <c:pt idx="8">
                  <c:v>16018.8</c:v>
                </c:pt>
                <c:pt idx="9">
                  <c:v>16082.9</c:v>
                </c:pt>
                <c:pt idx="10">
                  <c:v>16083.4</c:v>
                </c:pt>
                <c:pt idx="11">
                  <c:v>16083.1</c:v>
                </c:pt>
                <c:pt idx="12">
                  <c:v>16080.7</c:v>
                </c:pt>
                <c:pt idx="13">
                  <c:v>16069.5</c:v>
                </c:pt>
                <c:pt idx="14">
                  <c:v>16069.1</c:v>
                </c:pt>
                <c:pt idx="15">
                  <c:v>16069.1</c:v>
                </c:pt>
                <c:pt idx="16">
                  <c:v>16066.1</c:v>
                </c:pt>
                <c:pt idx="17">
                  <c:v>16063.4</c:v>
                </c:pt>
                <c:pt idx="18">
                  <c:v>16063.7</c:v>
                </c:pt>
                <c:pt idx="19">
                  <c:v>16059.9</c:v>
                </c:pt>
                <c:pt idx="20">
                  <c:v>16057.5</c:v>
                </c:pt>
                <c:pt idx="21">
                  <c:v>16057.5</c:v>
                </c:pt>
                <c:pt idx="22">
                  <c:v>16057.6</c:v>
                </c:pt>
                <c:pt idx="23">
                  <c:v>16057.6</c:v>
                </c:pt>
                <c:pt idx="24">
                  <c:v>16255.9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4-4C69-AE47-0826ECE2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3200"/>
        <c:axId val="-1973712656"/>
      </c:scatterChart>
      <c:valAx>
        <c:axId val="-197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2656"/>
        <c:crosses val="autoZero"/>
        <c:crossBetween val="midCat"/>
      </c:valAx>
      <c:valAx>
        <c:axId val="-1973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Bz,</a:t>
                </a:r>
                <a:r>
                  <a:rPr lang="lv-LV" baseline="0"/>
                  <a:t>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340</xdr:row>
      <xdr:rowOff>0</xdr:rowOff>
    </xdr:from>
    <xdr:to>
      <xdr:col>16</xdr:col>
      <xdr:colOff>152400</xdr:colOff>
      <xdr:row>355</xdr:row>
      <xdr:rowOff>0</xdr:rowOff>
    </xdr:to>
    <xdr:graphicFrame macro="">
      <xdr:nvGraphicFramePr>
        <xdr:cNvPr id="5" name="GPS E vs Bx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340</xdr:row>
      <xdr:rowOff>0</xdr:rowOff>
    </xdr:from>
    <xdr:to>
      <xdr:col>25</xdr:col>
      <xdr:colOff>0</xdr:colOff>
      <xdr:row>355</xdr:row>
      <xdr:rowOff>0</xdr:rowOff>
    </xdr:to>
    <xdr:graphicFrame macro="">
      <xdr:nvGraphicFramePr>
        <xdr:cNvPr id="6" name="GPS E vs B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25</xdr:col>
      <xdr:colOff>0</xdr:colOff>
      <xdr:row>355</xdr:row>
      <xdr:rowOff>0</xdr:rowOff>
    </xdr:to>
    <xdr:graphicFrame macro="">
      <xdr:nvGraphicFramePr>
        <xdr:cNvPr id="7" name="GPS E vs Bz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24098</xdr:rowOff>
    </xdr:from>
    <xdr:to>
      <xdr:col>6</xdr:col>
      <xdr:colOff>2259418</xdr:colOff>
      <xdr:row>78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2270844</xdr:colOff>
      <xdr:row>51</xdr:row>
      <xdr:rowOff>162611</xdr:rowOff>
    </xdr:from>
    <xdr:to>
      <xdr:col>14</xdr:col>
      <xdr:colOff>1122326</xdr:colOff>
      <xdr:row>78</xdr:row>
      <xdr:rowOff>-1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1106008</xdr:colOff>
      <xdr:row>51</xdr:row>
      <xdr:rowOff>155254</xdr:rowOff>
    </xdr:from>
    <xdr:to>
      <xdr:col>22</xdr:col>
      <xdr:colOff>398720</xdr:colOff>
      <xdr:row>78</xdr:row>
      <xdr:rowOff>29534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167682</xdr:rowOff>
    </xdr:from>
    <xdr:to>
      <xdr:col>7</xdr:col>
      <xdr:colOff>14767</xdr:colOff>
      <xdr:row>103</xdr:row>
      <xdr:rowOff>14767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29501</xdr:colOff>
      <xdr:row>78</xdr:row>
      <xdr:rowOff>6575</xdr:rowOff>
    </xdr:from>
    <xdr:to>
      <xdr:col>14</xdr:col>
      <xdr:colOff>1107558</xdr:colOff>
      <xdr:row>103</xdr:row>
      <xdr:rowOff>-1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1090853</xdr:colOff>
      <xdr:row>78</xdr:row>
      <xdr:rowOff>32310</xdr:rowOff>
    </xdr:from>
    <xdr:to>
      <xdr:col>22</xdr:col>
      <xdr:colOff>413488</xdr:colOff>
      <xdr:row>102</xdr:row>
      <xdr:rowOff>147675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2259418</xdr:colOff>
      <xdr:row>52</xdr:row>
      <xdr:rowOff>28862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50465-A1BC-B33D-F53A-9611DFC4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2261460</xdr:colOff>
      <xdr:row>27</xdr:row>
      <xdr:rowOff>2993</xdr:rowOff>
    </xdr:from>
    <xdr:to>
      <xdr:col>14</xdr:col>
      <xdr:colOff>1127316</xdr:colOff>
      <xdr:row>52</xdr:row>
      <xdr:rowOff>28070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AD12ED-8F04-BA35-6906-A73572956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"/>
  <sheetViews>
    <sheetView tabSelected="1" topLeftCell="Z13" zoomScale="71" zoomScaleNormal="100" workbookViewId="0">
      <selection activeCell="AN13" sqref="AN13"/>
    </sheetView>
  </sheetViews>
  <sheetFormatPr defaultRowHeight="14.5" x14ac:dyDescent="0.35"/>
  <cols>
    <col min="1" max="1" width="15.54296875" customWidth="1"/>
    <col min="2" max="2" width="15.7265625" customWidth="1"/>
    <col min="3" max="3" width="17.36328125" customWidth="1"/>
    <col min="4" max="5" width="18" customWidth="1"/>
    <col min="6" max="6" width="18.1796875" customWidth="1"/>
    <col min="7" max="7" width="32.6328125" customWidth="1"/>
    <col min="8" max="8" width="25.6328125" customWidth="1"/>
    <col min="9" max="9" width="15.26953125" customWidth="1"/>
    <col min="10" max="10" width="16.90625" customWidth="1"/>
    <col min="11" max="11" width="8.36328125" customWidth="1"/>
    <col min="12" max="12" width="18.08984375" customWidth="1"/>
    <col min="13" max="13" width="17.1796875" customWidth="1"/>
    <col min="14" max="14" width="17.26953125" customWidth="1"/>
    <col min="15" max="15" width="17.453125" customWidth="1"/>
    <col min="16" max="16" width="17.7265625" customWidth="1"/>
    <col min="17" max="17" width="17.36328125" customWidth="1"/>
    <col min="18" max="18" width="25.7265625" customWidth="1"/>
    <col min="19" max="20" width="16.90625" customWidth="1"/>
    <col min="21" max="21" width="16.453125" customWidth="1"/>
    <col min="22" max="22" width="15.54296875" customWidth="1"/>
    <col min="23" max="23" width="15.81640625" customWidth="1"/>
    <col min="24" max="24" width="18.26953125" customWidth="1"/>
    <col min="25" max="25" width="7.90625" customWidth="1"/>
    <col min="26" max="26" width="16.26953125" customWidth="1"/>
    <col min="27" max="27" width="16.1796875" customWidth="1"/>
    <col min="28" max="28" width="16.08984375" customWidth="1"/>
    <col min="29" max="29" width="17.6328125" customWidth="1"/>
    <col min="30" max="30" width="17.26953125" customWidth="1"/>
    <col min="31" max="31" width="18.1796875" customWidth="1"/>
    <col min="33" max="33" width="16.26953125" customWidth="1"/>
    <col min="34" max="34" width="25.08984375" customWidth="1"/>
    <col min="35" max="35" width="19.54296875" customWidth="1"/>
    <col min="36" max="36" width="20.90625" customWidth="1"/>
    <col min="37" max="37" width="19.36328125" customWidth="1"/>
    <col min="38" max="38" width="15.36328125" customWidth="1"/>
    <col min="39" max="39" width="16.36328125" customWidth="1"/>
    <col min="41" max="41" width="30.54296875" customWidth="1"/>
    <col min="42" max="42" width="29.81640625" customWidth="1"/>
    <col min="43" max="43" width="25.54296875" customWidth="1"/>
    <col min="44" max="44" width="26.08984375" customWidth="1"/>
    <col min="45" max="45" width="25.7265625" customWidth="1"/>
    <col min="46" max="46" width="27.08984375" customWidth="1"/>
    <col min="47" max="47" width="27.1796875" customWidth="1"/>
    <col min="48" max="48" width="26.54296875" customWidth="1"/>
  </cols>
  <sheetData>
    <row r="1" spans="1:48" x14ac:dyDescent="0.35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L1" s="9" t="s">
        <v>3</v>
      </c>
      <c r="M1" s="9" t="s">
        <v>4</v>
      </c>
      <c r="N1" s="9" t="s">
        <v>5</v>
      </c>
      <c r="O1" s="9" t="s">
        <v>23</v>
      </c>
      <c r="P1" s="9" t="s">
        <v>24</v>
      </c>
      <c r="Q1" s="9" t="s">
        <v>25</v>
      </c>
      <c r="R1" t="s">
        <v>6</v>
      </c>
      <c r="S1" t="s">
        <v>7</v>
      </c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Z1" s="9" t="s">
        <v>26</v>
      </c>
      <c r="AA1" s="9" t="s">
        <v>27</v>
      </c>
      <c r="AB1" s="9" t="s">
        <v>28</v>
      </c>
      <c r="AC1" s="9" t="s">
        <v>29</v>
      </c>
      <c r="AD1" s="2" t="s">
        <v>30</v>
      </c>
      <c r="AE1" s="2" t="s">
        <v>31</v>
      </c>
      <c r="AG1" s="9" t="s">
        <v>32</v>
      </c>
      <c r="AH1" t="s">
        <v>45</v>
      </c>
      <c r="AI1" s="9" t="s">
        <v>33</v>
      </c>
      <c r="AJ1" s="9" t="s">
        <v>34</v>
      </c>
      <c r="AK1" t="s">
        <v>0</v>
      </c>
      <c r="AL1" s="9" t="s">
        <v>35</v>
      </c>
      <c r="AO1" s="12" t="s">
        <v>36</v>
      </c>
      <c r="AP1" s="12" t="s">
        <v>37</v>
      </c>
      <c r="AQ1" s="12" t="s">
        <v>38</v>
      </c>
      <c r="AR1" s="12" t="s">
        <v>39</v>
      </c>
      <c r="AS1" s="12" t="s">
        <v>40</v>
      </c>
      <c r="AT1" s="12" t="s">
        <v>41</v>
      </c>
      <c r="AU1" s="12" t="s">
        <v>42</v>
      </c>
      <c r="AV1" s="12" t="s">
        <v>43</v>
      </c>
    </row>
    <row r="2" spans="1:48" ht="16" x14ac:dyDescent="0.4">
      <c r="A2">
        <v>56.923724300000003</v>
      </c>
      <c r="B2">
        <v>24.169585600000001</v>
      </c>
      <c r="C2">
        <v>50754.145750000003</v>
      </c>
      <c r="D2">
        <v>2552.4293050000001</v>
      </c>
      <c r="E2">
        <v>-46308.061569999998</v>
      </c>
      <c r="F2">
        <v>20616.300569999999</v>
      </c>
      <c r="G2" t="s">
        <v>1</v>
      </c>
      <c r="H2">
        <v>15</v>
      </c>
      <c r="I2">
        <v>51848.5</v>
      </c>
      <c r="J2">
        <v>51790.7</v>
      </c>
      <c r="L2">
        <f>4.8928242938207*AH2</f>
        <v>16.102284750963925</v>
      </c>
      <c r="M2">
        <f>17.9527482833898*AH2</f>
        <v>59.082494600635826</v>
      </c>
      <c r="N2">
        <f>3.41650558218054*AH2</f>
        <v>11.243719870956157</v>
      </c>
      <c r="O2">
        <v>574.81836050000004</v>
      </c>
      <c r="P2">
        <v>2109.1232209999998</v>
      </c>
      <c r="Q2">
        <v>401.37761330000001</v>
      </c>
      <c r="R2">
        <v>9.9999999999999995E-7</v>
      </c>
      <c r="S2">
        <f>SQRT(L2^2+R2^2)</f>
        <v>16.102284750963957</v>
      </c>
      <c r="T2">
        <f>SQRT(M2^2+R2^2)</f>
        <v>59.082494600635833</v>
      </c>
      <c r="U2">
        <f>SQRT(N2^2+R2^2)</f>
        <v>11.243719870956202</v>
      </c>
      <c r="V2" s="10">
        <f>ABS(S2/D2)</f>
        <v>6.3086114547505389E-3</v>
      </c>
      <c r="W2" s="10">
        <f>ABS(T2/E2)</f>
        <v>1.2758576497814706E-3</v>
      </c>
      <c r="X2" s="10">
        <f>U2/F2</f>
        <v>5.4538009051525007E-4</v>
      </c>
      <c r="Z2">
        <v>2535.1999999999998</v>
      </c>
      <c r="AA2">
        <v>-49223.1</v>
      </c>
      <c r="AB2">
        <v>16091.2</v>
      </c>
      <c r="AC2">
        <v>2534.6999999999998</v>
      </c>
      <c r="AD2">
        <v>-49167.7</v>
      </c>
      <c r="AE2">
        <v>16074.2</v>
      </c>
      <c r="AG2">
        <v>2043.6927012468652</v>
      </c>
      <c r="AH2">
        <v>3.2909999999999999</v>
      </c>
      <c r="AI2" s="8">
        <v>57.249601060602458</v>
      </c>
      <c r="AJ2" s="1">
        <v>9.9999999999999995E-7</v>
      </c>
      <c r="AK2" s="8">
        <f>SQRT(AI2^2+AJ2^2)</f>
        <v>57.249601060602465</v>
      </c>
      <c r="AL2" s="10">
        <f t="shared" ref="AL2:AL26" si="0">AK2/C2</f>
        <v>1.1279788126589139E-3</v>
      </c>
      <c r="AM2" s="3"/>
      <c r="AO2" s="4">
        <f t="shared" ref="AO2:AO26" si="1">ABS(C2-I2)</f>
        <v>1094.3542499999967</v>
      </c>
      <c r="AP2" s="4">
        <f t="shared" ref="AP2:AP26" si="2">ABS(C2-J2)</f>
        <v>1036.5542499999938</v>
      </c>
      <c r="AQ2" s="4">
        <f t="shared" ref="AQ2:AQ25" si="3">ABS(D2-Z2)</f>
        <v>17.229305000000295</v>
      </c>
      <c r="AR2" s="4">
        <f t="shared" ref="AR2:AR25" si="4">ABS(E2-AA2)</f>
        <v>2915.0384300000005</v>
      </c>
      <c r="AS2" s="4">
        <f t="shared" ref="AS2:AS25" si="5">ABS(F2-AB2)</f>
        <v>4525.1005699999987</v>
      </c>
      <c r="AT2" s="4">
        <f t="shared" ref="AT2:AT26" si="6">ABS(D2-AC2)</f>
        <v>17.729305000000295</v>
      </c>
      <c r="AU2" s="4">
        <f t="shared" ref="AU2:AU26" si="7">ABS(E2-AD2)</f>
        <v>2859.6384299999991</v>
      </c>
      <c r="AV2" s="4">
        <f t="shared" ref="AV2:AV26" si="8">ABS(F2-AE2)</f>
        <v>4542.1005699999987</v>
      </c>
    </row>
    <row r="3" spans="1:48" ht="16" x14ac:dyDescent="0.4">
      <c r="A3">
        <v>56.997874699999997</v>
      </c>
      <c r="B3">
        <v>24.132592899999999</v>
      </c>
      <c r="C3">
        <v>55917.120560000003</v>
      </c>
      <c r="D3">
        <v>1308.6747049999999</v>
      </c>
      <c r="E3">
        <v>-51714.034240000001</v>
      </c>
      <c r="F3">
        <v>21228.99914</v>
      </c>
      <c r="G3" t="s">
        <v>2</v>
      </c>
      <c r="H3">
        <v>15</v>
      </c>
      <c r="I3">
        <v>51861</v>
      </c>
      <c r="J3">
        <v>51802.8</v>
      </c>
      <c r="L3">
        <f>0.813635247631114*AH3</f>
        <v>2.6776735999539958</v>
      </c>
      <c r="M3">
        <f>2.10077379050412*AH3</f>
        <v>6.9136465445490591</v>
      </c>
      <c r="N3">
        <f>0.937022737990297*AH3</f>
        <v>3.0837418307260673</v>
      </c>
      <c r="O3">
        <v>89.099561030000004</v>
      </c>
      <c r="P3">
        <v>230.05151649999999</v>
      </c>
      <c r="Q3">
        <v>102.6114772</v>
      </c>
      <c r="R3">
        <v>9.9999999999999995E-7</v>
      </c>
      <c r="S3">
        <f t="shared" ref="S3:S26" si="9">SQRT(L3^2+R3^2)</f>
        <v>2.6776735999541827</v>
      </c>
      <c r="T3">
        <f t="shared" ref="T3:T26" si="10">SQRT(M3^2+R3^2)</f>
        <v>6.913646544549132</v>
      </c>
      <c r="U3">
        <f t="shared" ref="U3:U26" si="11">SQRT(N3^2+R3^2)</f>
        <v>3.0837418307262294</v>
      </c>
      <c r="V3" s="10">
        <f t="shared" ref="V3:V26" si="12">ABS(S3/D3)</f>
        <v>2.0460956337917321E-3</v>
      </c>
      <c r="W3" s="10">
        <f t="shared" ref="W3:W26" si="13">ABS(T3/E3)</f>
        <v>1.3368994792522943E-4</v>
      </c>
      <c r="X3" s="10">
        <f t="shared" ref="X3:X26" si="14">U3/F3</f>
        <v>1.4526082037074451E-4</v>
      </c>
      <c r="Z3">
        <v>2533.1999999999998</v>
      </c>
      <c r="AA3">
        <v>-49247.8</v>
      </c>
      <c r="AB3">
        <v>16056.1</v>
      </c>
      <c r="AC3">
        <v>2532.3000000000002</v>
      </c>
      <c r="AD3">
        <v>-49191.9</v>
      </c>
      <c r="AE3">
        <v>16039.7</v>
      </c>
      <c r="AG3">
        <v>230.74690264700956</v>
      </c>
      <c r="AH3">
        <v>3.2909999999999999</v>
      </c>
      <c r="AI3">
        <v>6.9345447087175902</v>
      </c>
      <c r="AJ3" s="1">
        <v>9.9999999999999995E-7</v>
      </c>
      <c r="AK3">
        <f t="shared" ref="AK3:AK26" si="15">SQRT(AI3^2+AJ3^2)</f>
        <v>6.9345447087176622</v>
      </c>
      <c r="AL3" s="10">
        <f t="shared" si="0"/>
        <v>1.2401469602278214E-4</v>
      </c>
      <c r="AM3" s="3"/>
      <c r="AO3" s="4">
        <f t="shared" si="1"/>
        <v>4056.120560000003</v>
      </c>
      <c r="AP3" s="4">
        <f t="shared" si="2"/>
        <v>4114.3205600000001</v>
      </c>
      <c r="AQ3" s="4">
        <f t="shared" si="3"/>
        <v>1224.5252949999999</v>
      </c>
      <c r="AR3" s="4">
        <f t="shared" si="4"/>
        <v>2466.234239999998</v>
      </c>
      <c r="AS3" s="4">
        <f t="shared" si="5"/>
        <v>5172.8991399999995</v>
      </c>
      <c r="AT3" s="4">
        <f t="shared" si="6"/>
        <v>1223.6252950000003</v>
      </c>
      <c r="AU3" s="4">
        <f t="shared" si="7"/>
        <v>2522.1342399999994</v>
      </c>
      <c r="AV3" s="4">
        <f t="shared" si="8"/>
        <v>5189.2991399999992</v>
      </c>
    </row>
    <row r="4" spans="1:48" ht="16" x14ac:dyDescent="0.4">
      <c r="A4">
        <v>57.004266299999998</v>
      </c>
      <c r="B4">
        <v>24.136514600000002</v>
      </c>
      <c r="C4">
        <v>56806.355609999999</v>
      </c>
      <c r="D4">
        <v>8.4798338859999998</v>
      </c>
      <c r="E4">
        <v>-52933.797460000002</v>
      </c>
      <c r="F4">
        <v>20614.923050000001</v>
      </c>
      <c r="G4" t="s">
        <v>2</v>
      </c>
      <c r="H4">
        <v>15</v>
      </c>
      <c r="I4">
        <v>51862.7</v>
      </c>
      <c r="J4">
        <v>51804.4</v>
      </c>
      <c r="L4">
        <f>0.493262089557923*AH4</f>
        <v>1.6233255367351245</v>
      </c>
      <c r="M4">
        <f>2.86323821357974*AH4</f>
        <v>9.4229169608909249</v>
      </c>
      <c r="N4">
        <f>0.980020716108146*AH4</f>
        <v>3.2252481767119083</v>
      </c>
      <c r="O4">
        <v>66.807429060000004</v>
      </c>
      <c r="P4">
        <v>387.79705130000002</v>
      </c>
      <c r="Q4">
        <v>132.7340289</v>
      </c>
      <c r="R4">
        <v>9.9999999999999995E-7</v>
      </c>
      <c r="S4">
        <f t="shared" si="9"/>
        <v>1.6233255367354325</v>
      </c>
      <c r="T4">
        <f t="shared" si="10"/>
        <v>9.4229169608909782</v>
      </c>
      <c r="U4">
        <f t="shared" si="11"/>
        <v>3.2252481767120633</v>
      </c>
      <c r="V4" s="10">
        <f t="shared" si="12"/>
        <v>0.19143364817741343</v>
      </c>
      <c r="W4" s="10">
        <f t="shared" si="13"/>
        <v>1.7801324320272898E-4</v>
      </c>
      <c r="X4" s="10">
        <f t="shared" si="14"/>
        <v>1.5645210845024538E-4</v>
      </c>
      <c r="Z4">
        <v>2533.5</v>
      </c>
      <c r="AA4">
        <v>-49250.6</v>
      </c>
      <c r="AB4">
        <v>16052.9</v>
      </c>
      <c r="AC4">
        <v>2532.6999999999998</v>
      </c>
      <c r="AD4">
        <v>-49194.7</v>
      </c>
      <c r="AE4">
        <v>16036.5</v>
      </c>
      <c r="AG4">
        <v>402.98926773681285</v>
      </c>
      <c r="AH4">
        <v>3.2909999999999999</v>
      </c>
      <c r="AI4">
        <v>9.7920662194896515</v>
      </c>
      <c r="AJ4" s="1">
        <v>9.9999999999999995E-7</v>
      </c>
      <c r="AK4">
        <f t="shared" si="15"/>
        <v>9.792066219489703</v>
      </c>
      <c r="AL4" s="10">
        <f t="shared" si="0"/>
        <v>1.7237624407234357E-4</v>
      </c>
      <c r="AM4" s="3"/>
      <c r="AO4" s="4">
        <f t="shared" si="1"/>
        <v>4943.6556100000016</v>
      </c>
      <c r="AP4" s="4">
        <f t="shared" si="2"/>
        <v>5001.9556099999973</v>
      </c>
      <c r="AQ4" s="4">
        <f t="shared" si="3"/>
        <v>2525.0201661139999</v>
      </c>
      <c r="AR4" s="4">
        <f t="shared" si="4"/>
        <v>3683.197460000003</v>
      </c>
      <c r="AS4" s="4">
        <f t="shared" si="5"/>
        <v>4562.0230500000016</v>
      </c>
      <c r="AT4" s="4">
        <f t="shared" si="6"/>
        <v>2524.2201661139998</v>
      </c>
      <c r="AU4" s="4">
        <f t="shared" si="7"/>
        <v>3739.0974600000045</v>
      </c>
      <c r="AV4" s="4">
        <f t="shared" si="8"/>
        <v>4578.4230500000012</v>
      </c>
    </row>
    <row r="5" spans="1:48" ht="16" x14ac:dyDescent="0.4">
      <c r="A5">
        <v>57.004259900000001</v>
      </c>
      <c r="B5">
        <v>24.133548099999999</v>
      </c>
      <c r="C5">
        <v>56352.196859999996</v>
      </c>
      <c r="D5">
        <v>807.12767429999997</v>
      </c>
      <c r="E5">
        <v>-52751.981220000001</v>
      </c>
      <c r="F5">
        <v>19802.704699999998</v>
      </c>
      <c r="G5" t="s">
        <v>2</v>
      </c>
      <c r="H5">
        <v>15</v>
      </c>
      <c r="I5">
        <v>51862.400000000001</v>
      </c>
      <c r="J5">
        <v>51804.2</v>
      </c>
      <c r="L5">
        <f>0.612676316360838*AH5</f>
        <v>2.0163177571435176</v>
      </c>
      <c r="M5">
        <f>2.19566902131913*AH5</f>
        <v>7.225946749161257</v>
      </c>
      <c r="N5">
        <f>1.10750356226363*AH5</f>
        <v>3.6447942234096065</v>
      </c>
      <c r="O5">
        <v>67.530716650000002</v>
      </c>
      <c r="P5">
        <v>242.0121336</v>
      </c>
      <c r="Q5">
        <v>122.0718139</v>
      </c>
      <c r="R5">
        <v>9.9999999999999995E-7</v>
      </c>
      <c r="S5">
        <f t="shared" si="9"/>
        <v>2.0163177571437658</v>
      </c>
      <c r="T5">
        <f t="shared" si="10"/>
        <v>7.2259467491613263</v>
      </c>
      <c r="U5">
        <f t="shared" si="11"/>
        <v>3.6447942234097437</v>
      </c>
      <c r="V5" s="10">
        <f t="shared" si="12"/>
        <v>2.4981397879740201E-3</v>
      </c>
      <c r="W5" s="10">
        <f t="shared" si="13"/>
        <v>1.3697962772290595E-4</v>
      </c>
      <c r="X5" s="10">
        <f t="shared" si="14"/>
        <v>1.8405537418379742E-4</v>
      </c>
      <c r="Z5">
        <v>2533.3000000000002</v>
      </c>
      <c r="AA5">
        <v>-49250.3</v>
      </c>
      <c r="AB5">
        <v>16053</v>
      </c>
      <c r="AC5">
        <v>2532.5</v>
      </c>
      <c r="AD5">
        <v>-49194.400000000001</v>
      </c>
      <c r="AE5">
        <v>16036.6</v>
      </c>
      <c r="AG5">
        <v>261.97214459638758</v>
      </c>
      <c r="AH5">
        <v>3.2909999999999999</v>
      </c>
      <c r="AI5">
        <v>7.8219085064056539</v>
      </c>
      <c r="AJ5" s="1">
        <v>9.9999999999999995E-7</v>
      </c>
      <c r="AK5">
        <f t="shared" si="15"/>
        <v>7.8219085064057179</v>
      </c>
      <c r="AL5" s="10">
        <f t="shared" si="0"/>
        <v>1.3880396758689416E-4</v>
      </c>
      <c r="AM5" s="3"/>
      <c r="AO5" s="4">
        <f t="shared" si="1"/>
        <v>4489.7968599999949</v>
      </c>
      <c r="AP5" s="4">
        <f t="shared" si="2"/>
        <v>4547.9968599999993</v>
      </c>
      <c r="AQ5" s="4">
        <f t="shared" si="3"/>
        <v>1726.1723257000003</v>
      </c>
      <c r="AR5" s="4">
        <f t="shared" si="4"/>
        <v>3501.6812199999986</v>
      </c>
      <c r="AS5" s="4">
        <f t="shared" si="5"/>
        <v>3749.7046999999984</v>
      </c>
      <c r="AT5" s="4">
        <f t="shared" si="6"/>
        <v>1725.3723257000001</v>
      </c>
      <c r="AU5" s="4">
        <f t="shared" si="7"/>
        <v>3557.58122</v>
      </c>
      <c r="AV5" s="4">
        <f t="shared" si="8"/>
        <v>3766.104699999998</v>
      </c>
    </row>
    <row r="6" spans="1:48" ht="16" x14ac:dyDescent="0.4">
      <c r="A6">
        <v>57.017246999999998</v>
      </c>
      <c r="B6">
        <v>24.123222299999998</v>
      </c>
      <c r="C6">
        <v>52608.759469999997</v>
      </c>
      <c r="D6">
        <v>-4598.6861040000003</v>
      </c>
      <c r="E6">
        <v>-46730.99381</v>
      </c>
      <c r="F6">
        <v>23722.307570000001</v>
      </c>
      <c r="G6" t="s">
        <v>2</v>
      </c>
      <c r="H6">
        <v>15</v>
      </c>
      <c r="I6">
        <v>51864.2</v>
      </c>
      <c r="J6">
        <v>51806</v>
      </c>
      <c r="L6">
        <f>0.73294793190763*AH6</f>
        <v>2.41213164390801</v>
      </c>
      <c r="M6">
        <f>0.426584443172822*AH6</f>
        <v>1.4038894024817572</v>
      </c>
      <c r="N6">
        <f>0.719155565341195*AH6</f>
        <v>2.3667409655378724</v>
      </c>
      <c r="O6">
        <v>77.123399120000002</v>
      </c>
      <c r="P6">
        <v>44.886738659999999</v>
      </c>
      <c r="Q6">
        <v>75.672117049999997</v>
      </c>
      <c r="R6">
        <v>9.9999999999999995E-7</v>
      </c>
      <c r="S6">
        <f t="shared" si="9"/>
        <v>2.4121316439082174</v>
      </c>
      <c r="T6">
        <f t="shared" si="10"/>
        <v>1.4038894024821134</v>
      </c>
      <c r="U6">
        <f t="shared" si="11"/>
        <v>2.3667409655380838</v>
      </c>
      <c r="V6" s="10">
        <f t="shared" si="12"/>
        <v>5.2452626453675804E-4</v>
      </c>
      <c r="W6" s="10">
        <f t="shared" si="13"/>
        <v>3.0041933372743596E-5</v>
      </c>
      <c r="X6" s="10">
        <f t="shared" si="14"/>
        <v>9.9768581052002761E-5</v>
      </c>
      <c r="Z6">
        <v>2532.6</v>
      </c>
      <c r="AA6">
        <v>-49254.2</v>
      </c>
      <c r="AB6">
        <v>16047</v>
      </c>
      <c r="AC6">
        <v>2531.6999999999998</v>
      </c>
      <c r="AD6">
        <v>-49198.2</v>
      </c>
      <c r="AE6">
        <v>16030.7</v>
      </c>
      <c r="AG6">
        <v>52.267706242140385</v>
      </c>
      <c r="AH6">
        <v>3.2909999999999999</v>
      </c>
      <c r="AI6">
        <v>1.6347384790753936</v>
      </c>
      <c r="AJ6" s="1">
        <v>9.9999999999999995E-7</v>
      </c>
      <c r="AK6">
        <f t="shared" si="15"/>
        <v>1.6347384790756994</v>
      </c>
      <c r="AL6" s="10">
        <f t="shared" si="0"/>
        <v>3.1073503643588184E-5</v>
      </c>
      <c r="AM6" s="3"/>
      <c r="AO6" s="4">
        <f t="shared" si="1"/>
        <v>744.55947000000015</v>
      </c>
      <c r="AP6" s="4">
        <f t="shared" si="2"/>
        <v>802.75946999999724</v>
      </c>
      <c r="AQ6" s="4">
        <f t="shared" si="3"/>
        <v>7131.2861040000007</v>
      </c>
      <c r="AR6" s="4">
        <f t="shared" si="4"/>
        <v>2523.2061899999972</v>
      </c>
      <c r="AS6" s="4">
        <f t="shared" si="5"/>
        <v>7675.3075700000009</v>
      </c>
      <c r="AT6" s="4">
        <f t="shared" si="6"/>
        <v>7130.3861040000002</v>
      </c>
      <c r="AU6" s="4">
        <f t="shared" si="7"/>
        <v>2467.2061899999972</v>
      </c>
      <c r="AV6" s="4">
        <f t="shared" si="8"/>
        <v>7691.6075700000001</v>
      </c>
    </row>
    <row r="7" spans="1:48" ht="16" x14ac:dyDescent="0.4">
      <c r="A7">
        <v>57.017246999999998</v>
      </c>
      <c r="B7">
        <v>24.123222299999998</v>
      </c>
      <c r="C7">
        <v>52563.164779999999</v>
      </c>
      <c r="D7">
        <v>-4200.9038119999996</v>
      </c>
      <c r="E7">
        <v>-47015.22885</v>
      </c>
      <c r="F7">
        <v>23125.893619999999</v>
      </c>
      <c r="G7" t="s">
        <v>2</v>
      </c>
      <c r="H7">
        <v>15</v>
      </c>
      <c r="I7">
        <v>51864.2</v>
      </c>
      <c r="J7">
        <v>51806</v>
      </c>
      <c r="L7">
        <f>4.38287856055471*AH7</f>
        <v>14.42405334278555</v>
      </c>
      <c r="M7">
        <f>4.13881990901426*AH7</f>
        <v>13.620856320565929</v>
      </c>
      <c r="N7">
        <f>2.0437300454287*AH7</f>
        <v>6.7259155795058518</v>
      </c>
      <c r="O7">
        <v>443.32117929999998</v>
      </c>
      <c r="P7">
        <v>418.63503580000003</v>
      </c>
      <c r="Q7">
        <v>206.72003599999999</v>
      </c>
      <c r="R7">
        <v>9.9999999999999995E-7</v>
      </c>
      <c r="S7">
        <f t="shared" si="9"/>
        <v>14.424053342785584</v>
      </c>
      <c r="T7">
        <f t="shared" si="10"/>
        <v>13.620856320565967</v>
      </c>
      <c r="U7">
        <f t="shared" si="11"/>
        <v>6.7259155795059264</v>
      </c>
      <c r="V7" s="10">
        <f t="shared" si="12"/>
        <v>3.4335595358272355E-3</v>
      </c>
      <c r="W7" s="10">
        <f t="shared" si="13"/>
        <v>2.8971158183708313E-4</v>
      </c>
      <c r="X7" s="10">
        <f t="shared" si="14"/>
        <v>2.908391645323986E-4</v>
      </c>
      <c r="Z7">
        <v>2532.6</v>
      </c>
      <c r="AA7">
        <v>-49254.2</v>
      </c>
      <c r="AB7">
        <v>16047</v>
      </c>
      <c r="AC7">
        <v>2531.6999999999998</v>
      </c>
      <c r="AD7">
        <v>-49198.2</v>
      </c>
      <c r="AE7">
        <v>16030.7</v>
      </c>
      <c r="AG7">
        <v>383.46941059063209</v>
      </c>
      <c r="AH7">
        <v>3.2909999999999999</v>
      </c>
      <c r="AI7">
        <v>12.476695208574007</v>
      </c>
      <c r="AJ7" s="1">
        <v>9.9999999999999995E-7</v>
      </c>
      <c r="AK7">
        <f t="shared" si="15"/>
        <v>12.476695208574048</v>
      </c>
      <c r="AL7" s="10">
        <f t="shared" si="0"/>
        <v>2.3736575339012623E-4</v>
      </c>
      <c r="AM7" s="3"/>
      <c r="AO7" s="4">
        <f t="shared" si="1"/>
        <v>698.96478000000207</v>
      </c>
      <c r="AP7" s="4">
        <f t="shared" si="2"/>
        <v>757.16477999999915</v>
      </c>
      <c r="AQ7" s="4">
        <f t="shared" si="3"/>
        <v>6733.503811999999</v>
      </c>
      <c r="AR7" s="4">
        <f t="shared" si="4"/>
        <v>2238.9711499999976</v>
      </c>
      <c r="AS7" s="4">
        <f t="shared" si="5"/>
        <v>7078.8936199999989</v>
      </c>
      <c r="AT7" s="4">
        <f t="shared" si="6"/>
        <v>6732.6038119999994</v>
      </c>
      <c r="AU7" s="4">
        <f t="shared" si="7"/>
        <v>2182.9711499999976</v>
      </c>
      <c r="AV7" s="4">
        <f t="shared" si="8"/>
        <v>7095.1936199999982</v>
      </c>
    </row>
    <row r="8" spans="1:48" ht="16" x14ac:dyDescent="0.4">
      <c r="A8">
        <v>57.036178700000001</v>
      </c>
      <c r="B8">
        <v>24.1139318</v>
      </c>
      <c r="C8">
        <v>58614.461920000002</v>
      </c>
      <c r="D8">
        <v>716.6579759</v>
      </c>
      <c r="E8">
        <v>-48887.387329999998</v>
      </c>
      <c r="F8">
        <v>32329.010310000001</v>
      </c>
      <c r="G8" t="s">
        <v>2</v>
      </c>
      <c r="H8">
        <v>15</v>
      </c>
      <c r="I8">
        <v>51867.3</v>
      </c>
      <c r="J8">
        <v>51809.1</v>
      </c>
      <c r="L8">
        <f>1.82665307930047*AH8</f>
        <v>6.0115152839778467</v>
      </c>
      <c r="M8">
        <f>30.4574923937908*AH8</f>
        <v>100.23560746796552</v>
      </c>
      <c r="N8">
        <f>36.3494239395163*AH8</f>
        <v>119.62595418494814</v>
      </c>
      <c r="O8">
        <v>188.26050609999999</v>
      </c>
      <c r="P8">
        <v>3139.0432030000002</v>
      </c>
      <c r="Q8">
        <v>3746.2838590000001</v>
      </c>
      <c r="R8">
        <v>9.9999999999999995E-7</v>
      </c>
      <c r="S8">
        <f t="shared" si="9"/>
        <v>6.0115152839779302</v>
      </c>
      <c r="T8">
        <f t="shared" si="10"/>
        <v>100.23560746796552</v>
      </c>
      <c r="U8">
        <f t="shared" si="11"/>
        <v>119.62595418494814</v>
      </c>
      <c r="V8" s="10">
        <f t="shared" si="12"/>
        <v>8.3882625828987593E-3</v>
      </c>
      <c r="W8" s="10">
        <f t="shared" si="13"/>
        <v>2.0503367625550207E-3</v>
      </c>
      <c r="X8" s="10">
        <f t="shared" si="14"/>
        <v>3.7002665110334502E-3</v>
      </c>
      <c r="Z8">
        <v>2532</v>
      </c>
      <c r="AA8">
        <v>-49260.4</v>
      </c>
      <c r="AB8">
        <v>16038.1</v>
      </c>
      <c r="AC8">
        <v>2531.1</v>
      </c>
      <c r="AD8">
        <v>-49204.4</v>
      </c>
      <c r="AE8">
        <v>16021.9</v>
      </c>
      <c r="AG8">
        <v>660.67671191958823</v>
      </c>
      <c r="AH8">
        <v>3.2909999999999999</v>
      </c>
      <c r="AI8">
        <v>21.096661396277778</v>
      </c>
      <c r="AJ8" s="1">
        <v>9.9999999999999995E-7</v>
      </c>
      <c r="AK8">
        <f t="shared" si="15"/>
        <v>21.096661396277803</v>
      </c>
      <c r="AL8" s="10">
        <f t="shared" si="0"/>
        <v>3.5992246120200848E-4</v>
      </c>
      <c r="AM8" s="3"/>
      <c r="AO8" s="4">
        <f t="shared" si="1"/>
        <v>6747.1619199999986</v>
      </c>
      <c r="AP8" s="4">
        <f t="shared" si="2"/>
        <v>6805.361920000003</v>
      </c>
      <c r="AQ8" s="4">
        <f t="shared" si="3"/>
        <v>1815.3420240999999</v>
      </c>
      <c r="AR8" s="4">
        <f t="shared" si="4"/>
        <v>373.01267000000371</v>
      </c>
      <c r="AS8" s="4">
        <f t="shared" si="5"/>
        <v>16290.910310000001</v>
      </c>
      <c r="AT8" s="4">
        <f t="shared" si="6"/>
        <v>1814.4420240999998</v>
      </c>
      <c r="AU8" s="4">
        <f t="shared" si="7"/>
        <v>317.01267000000371</v>
      </c>
      <c r="AV8" s="4">
        <f t="shared" si="8"/>
        <v>16307.110310000002</v>
      </c>
    </row>
    <row r="9" spans="1:48" ht="16" x14ac:dyDescent="0.4">
      <c r="A9">
        <v>57.037131199999997</v>
      </c>
      <c r="B9">
        <v>24.114598300000001</v>
      </c>
      <c r="C9">
        <v>54237.458630000001</v>
      </c>
      <c r="D9">
        <v>1281.3583120000001</v>
      </c>
      <c r="E9">
        <v>-50235.761480000001</v>
      </c>
      <c r="F9">
        <v>20406.575110000002</v>
      </c>
      <c r="G9" t="s">
        <v>2</v>
      </c>
      <c r="H9">
        <v>15</v>
      </c>
      <c r="I9">
        <v>51867.6</v>
      </c>
      <c r="J9">
        <v>51809.3</v>
      </c>
      <c r="L9">
        <f>0.798760479295807*AH9</f>
        <v>2.6287207373625008</v>
      </c>
      <c r="M9">
        <f>1.91379776349075*AH9</f>
        <v>6.298308439648058</v>
      </c>
      <c r="N9">
        <f>0.906055625502024*AH9</f>
        <v>2.9818290635271611</v>
      </c>
      <c r="O9">
        <v>90.80259101</v>
      </c>
      <c r="P9">
        <v>217.55933110000001</v>
      </c>
      <c r="Q9">
        <v>102.999836</v>
      </c>
      <c r="R9">
        <v>9.9999999999999995E-7</v>
      </c>
      <c r="S9">
        <f t="shared" si="9"/>
        <v>2.6287207373626909</v>
      </c>
      <c r="T9">
        <f t="shared" si="10"/>
        <v>6.2983084396481379</v>
      </c>
      <c r="U9">
        <f t="shared" si="11"/>
        <v>2.9818290635273286</v>
      </c>
      <c r="V9" s="10">
        <f t="shared" si="12"/>
        <v>2.0515110510031099E-3</v>
      </c>
      <c r="W9" s="10">
        <f t="shared" si="13"/>
        <v>1.2537499689649649E-4</v>
      </c>
      <c r="X9" s="10">
        <f t="shared" si="14"/>
        <v>1.4612099519169773E-4</v>
      </c>
      <c r="Z9">
        <v>2532</v>
      </c>
      <c r="AA9">
        <v>-49206.8</v>
      </c>
      <c r="AB9">
        <v>16037.6</v>
      </c>
      <c r="AC9">
        <v>2531.1999999999998</v>
      </c>
      <c r="AD9">
        <v>-49204.800000000003</v>
      </c>
      <c r="AE9">
        <v>16021.5</v>
      </c>
      <c r="AG9">
        <v>215.69929825470678</v>
      </c>
      <c r="AH9">
        <v>3.2909999999999999</v>
      </c>
      <c r="AI9">
        <v>6.2444607810918926</v>
      </c>
      <c r="AJ9" s="1">
        <v>9.9999999999999995E-7</v>
      </c>
      <c r="AK9">
        <f t="shared" si="15"/>
        <v>6.2444607810919726</v>
      </c>
      <c r="AL9" s="10">
        <f t="shared" si="0"/>
        <v>1.1513188373538608E-4</v>
      </c>
      <c r="AM9" s="3"/>
      <c r="AO9" s="4">
        <f t="shared" si="1"/>
        <v>2369.8586300000024</v>
      </c>
      <c r="AP9" s="4">
        <f t="shared" si="2"/>
        <v>2428.1586299999981</v>
      </c>
      <c r="AQ9" s="4">
        <f t="shared" si="3"/>
        <v>1250.6416879999999</v>
      </c>
      <c r="AR9" s="4">
        <f t="shared" si="4"/>
        <v>1028.9614799999981</v>
      </c>
      <c r="AS9" s="4">
        <f t="shared" si="5"/>
        <v>4368.9751100000012</v>
      </c>
      <c r="AT9" s="4">
        <f t="shared" si="6"/>
        <v>1249.8416879999997</v>
      </c>
      <c r="AU9" s="4">
        <f t="shared" si="7"/>
        <v>1030.9614799999981</v>
      </c>
      <c r="AV9" s="4">
        <f t="shared" si="8"/>
        <v>4385.0751100000016</v>
      </c>
    </row>
    <row r="10" spans="1:48" ht="16" x14ac:dyDescent="0.4">
      <c r="A10">
        <v>57.075955499999999</v>
      </c>
      <c r="B10">
        <v>24.1129994</v>
      </c>
      <c r="C10">
        <v>53618.166140000001</v>
      </c>
      <c r="D10">
        <v>1475.8231699999999</v>
      </c>
      <c r="E10">
        <v>-48415.490270000002</v>
      </c>
      <c r="F10">
        <v>22992.824720000001</v>
      </c>
      <c r="G10" t="s">
        <v>2</v>
      </c>
      <c r="H10">
        <v>15</v>
      </c>
      <c r="I10">
        <v>51875.4</v>
      </c>
      <c r="J10">
        <v>51817.2</v>
      </c>
      <c r="L10">
        <f>0.600673248498786*AH10</f>
        <v>1.9768156608095047</v>
      </c>
      <c r="M10">
        <f>0.883304329497046*AH10</f>
        <v>2.9069545483747783</v>
      </c>
      <c r="N10">
        <f>0.783460660859177*AH10</f>
        <v>2.5783690348875514</v>
      </c>
      <c r="O10">
        <v>69.659970709999996</v>
      </c>
      <c r="P10">
        <v>102.4366473</v>
      </c>
      <c r="Q10">
        <v>90.857794690000006</v>
      </c>
      <c r="R10">
        <v>9.9999999999999995E-7</v>
      </c>
      <c r="S10">
        <f t="shared" si="9"/>
        <v>1.9768156608097576</v>
      </c>
      <c r="T10">
        <f t="shared" si="10"/>
        <v>2.9069545483749502</v>
      </c>
      <c r="U10">
        <f t="shared" si="11"/>
        <v>2.5783690348877455</v>
      </c>
      <c r="V10" s="10">
        <f t="shared" si="12"/>
        <v>1.3394664760614631E-3</v>
      </c>
      <c r="W10" s="10">
        <f t="shared" si="13"/>
        <v>6.0041828186881023E-5</v>
      </c>
      <c r="X10" s="10">
        <f t="shared" si="14"/>
        <v>1.1213798505779004E-4</v>
      </c>
      <c r="Z10">
        <v>2532.1999999999998</v>
      </c>
      <c r="AA10">
        <v>-49275.199999999997</v>
      </c>
      <c r="AB10">
        <v>16018.8</v>
      </c>
      <c r="AC10">
        <v>2531.4</v>
      </c>
      <c r="AD10">
        <v>-49219.1</v>
      </c>
      <c r="AE10">
        <v>16002.9</v>
      </c>
      <c r="AG10">
        <v>114.10329399368432</v>
      </c>
      <c r="AH10">
        <v>3.2909999999999999</v>
      </c>
      <c r="AI10">
        <v>3.2380314867977837</v>
      </c>
      <c r="AJ10" s="1">
        <v>9.9999999999999995E-7</v>
      </c>
      <c r="AK10">
        <f t="shared" si="15"/>
        <v>3.2380314867979383</v>
      </c>
      <c r="AL10" s="10">
        <f t="shared" si="0"/>
        <v>6.0390567598736197E-5</v>
      </c>
      <c r="AM10" s="3"/>
      <c r="AO10" s="4">
        <f t="shared" si="1"/>
        <v>1742.7661399999997</v>
      </c>
      <c r="AP10" s="4">
        <f t="shared" si="2"/>
        <v>1800.9661400000041</v>
      </c>
      <c r="AQ10" s="4">
        <f t="shared" si="3"/>
        <v>1056.3768299999999</v>
      </c>
      <c r="AR10" s="4">
        <f t="shared" si="4"/>
        <v>859.70972999999503</v>
      </c>
      <c r="AS10" s="4">
        <f t="shared" si="5"/>
        <v>6974.0247200000013</v>
      </c>
      <c r="AT10" s="4">
        <f t="shared" si="6"/>
        <v>1055.5768300000002</v>
      </c>
      <c r="AU10" s="4">
        <f t="shared" si="7"/>
        <v>803.60972999999649</v>
      </c>
      <c r="AV10" s="4">
        <f t="shared" si="8"/>
        <v>6989.9247200000009</v>
      </c>
    </row>
    <row r="11" spans="1:48" ht="16" x14ac:dyDescent="0.4">
      <c r="A11">
        <v>56.940717399999997</v>
      </c>
      <c r="B11">
        <v>24.1687662</v>
      </c>
      <c r="C11">
        <v>51262.908219999998</v>
      </c>
      <c r="D11">
        <v>2091.8718159999999</v>
      </c>
      <c r="E11">
        <v>-42111.775179999997</v>
      </c>
      <c r="F11">
        <v>29156.615409999999</v>
      </c>
      <c r="G11" t="s">
        <v>1</v>
      </c>
      <c r="H11">
        <v>15</v>
      </c>
      <c r="I11">
        <v>51852</v>
      </c>
      <c r="J11">
        <v>51794.1</v>
      </c>
      <c r="L11">
        <f>1.6892074195942*AH11</f>
        <v>5.5591816178845121</v>
      </c>
      <c r="M11">
        <f>1.44550094235341*AH11</f>
        <v>4.7571436012850725</v>
      </c>
      <c r="N11">
        <f>1.92479925394887*AH11</f>
        <v>6.3345143447457311</v>
      </c>
      <c r="O11">
        <v>195.1089413</v>
      </c>
      <c r="P11">
        <v>166.96005199999999</v>
      </c>
      <c r="Q11">
        <v>222.32056309999999</v>
      </c>
      <c r="R11">
        <v>9.9999999999999995E-7</v>
      </c>
      <c r="S11">
        <f t="shared" si="9"/>
        <v>5.5591816178846019</v>
      </c>
      <c r="T11">
        <f t="shared" si="10"/>
        <v>4.7571436012851773</v>
      </c>
      <c r="U11">
        <f t="shared" si="11"/>
        <v>6.3345143447458101</v>
      </c>
      <c r="V11" s="10">
        <f t="shared" si="12"/>
        <v>2.6575154248765893E-3</v>
      </c>
      <c r="W11" s="10">
        <f t="shared" si="13"/>
        <v>1.1296468935236127E-4</v>
      </c>
      <c r="X11" s="10">
        <f t="shared" si="14"/>
        <v>2.1725821929843161E-4</v>
      </c>
      <c r="Z11">
        <v>2535.3000000000002</v>
      </c>
      <c r="AA11">
        <v>-49229.4</v>
      </c>
      <c r="AB11">
        <v>16082.9</v>
      </c>
      <c r="AC11">
        <v>2534.8000000000002</v>
      </c>
      <c r="AD11">
        <v>-49174</v>
      </c>
      <c r="AE11">
        <v>16066.1</v>
      </c>
      <c r="AG11">
        <v>178.89318040444218</v>
      </c>
      <c r="AH11">
        <v>3.2909999999999999</v>
      </c>
      <c r="AI11">
        <v>5.0971507164759915</v>
      </c>
      <c r="AJ11" s="1">
        <v>9.9999999999999995E-7</v>
      </c>
      <c r="AK11">
        <f t="shared" si="15"/>
        <v>5.0971507164760892</v>
      </c>
      <c r="AL11" s="10">
        <f t="shared" si="0"/>
        <v>9.9431555747893726E-5</v>
      </c>
      <c r="AM11" s="3"/>
      <c r="AO11" s="4">
        <f t="shared" si="1"/>
        <v>589.09178000000247</v>
      </c>
      <c r="AP11" s="4">
        <f t="shared" si="2"/>
        <v>531.19178000000102</v>
      </c>
      <c r="AQ11" s="4">
        <f t="shared" si="3"/>
        <v>443.42818400000033</v>
      </c>
      <c r="AR11" s="4">
        <f t="shared" si="4"/>
        <v>7117.6248200000045</v>
      </c>
      <c r="AS11" s="4">
        <f t="shared" si="5"/>
        <v>13073.715409999999</v>
      </c>
      <c r="AT11" s="4">
        <f t="shared" si="6"/>
        <v>442.92818400000033</v>
      </c>
      <c r="AU11" s="4">
        <f t="shared" si="7"/>
        <v>7062.2248200000031</v>
      </c>
      <c r="AV11" s="4">
        <f t="shared" si="8"/>
        <v>13090.515409999998</v>
      </c>
    </row>
    <row r="12" spans="1:48" ht="16" x14ac:dyDescent="0.4">
      <c r="A12">
        <v>56.939983900000001</v>
      </c>
      <c r="B12">
        <v>24.165572999999998</v>
      </c>
      <c r="C12">
        <v>53932.856180000002</v>
      </c>
      <c r="D12">
        <v>-608.38394340000002</v>
      </c>
      <c r="E12">
        <v>-53831.783239999997</v>
      </c>
      <c r="F12">
        <v>3243.7567829999998</v>
      </c>
      <c r="G12" t="s">
        <v>1</v>
      </c>
      <c r="H12">
        <v>15</v>
      </c>
      <c r="I12">
        <v>51851.5</v>
      </c>
      <c r="J12">
        <v>51793.7</v>
      </c>
      <c r="L12">
        <f>0.630313198956966*AH12</f>
        <v>2.0743607377673752</v>
      </c>
      <c r="M12">
        <f>1.72773728215923*AH12</f>
        <v>5.6859833955860264</v>
      </c>
      <c r="N12">
        <f>0.648824897970739*AH12</f>
        <v>2.1352827392217018</v>
      </c>
      <c r="O12">
        <v>82.465107000000003</v>
      </c>
      <c r="P12">
        <v>226.04324339999999</v>
      </c>
      <c r="Q12">
        <v>84.887028740000005</v>
      </c>
      <c r="R12">
        <v>9.9999999999999995E-7</v>
      </c>
      <c r="S12">
        <f t="shared" si="9"/>
        <v>2.0743607377676163</v>
      </c>
      <c r="T12">
        <f t="shared" si="10"/>
        <v>5.6859833955861143</v>
      </c>
      <c r="U12">
        <f t="shared" si="11"/>
        <v>2.1352827392219358</v>
      </c>
      <c r="V12" s="10">
        <f t="shared" si="12"/>
        <v>3.4096243996429186E-3</v>
      </c>
      <c r="W12" s="10">
        <f t="shared" si="13"/>
        <v>1.0562502397953471E-4</v>
      </c>
      <c r="X12" s="10">
        <f t="shared" si="14"/>
        <v>6.5827461245325308E-4</v>
      </c>
      <c r="Z12">
        <v>2535.1</v>
      </c>
      <c r="AA12">
        <v>-49228.9</v>
      </c>
      <c r="AB12">
        <v>16083.4</v>
      </c>
      <c r="AC12">
        <v>2534.5</v>
      </c>
      <c r="AD12">
        <v>-49173.4</v>
      </c>
      <c r="AE12">
        <v>16066.5</v>
      </c>
      <c r="AG12">
        <v>225.39806036931009</v>
      </c>
      <c r="AH12">
        <v>3.2909999999999999</v>
      </c>
      <c r="AI12">
        <v>5.6697542003940153</v>
      </c>
      <c r="AJ12" s="1">
        <v>9.9999999999999995E-7</v>
      </c>
      <c r="AK12">
        <f t="shared" si="15"/>
        <v>5.6697542003941033</v>
      </c>
      <c r="AL12" s="10">
        <f t="shared" si="0"/>
        <v>1.051261624541336E-4</v>
      </c>
      <c r="AM12" s="3"/>
      <c r="AO12" s="4">
        <f t="shared" si="1"/>
        <v>2081.3561800000025</v>
      </c>
      <c r="AP12" s="4">
        <f t="shared" si="2"/>
        <v>2139.1561800000054</v>
      </c>
      <c r="AQ12" s="4">
        <f t="shared" si="3"/>
        <v>3143.4839434</v>
      </c>
      <c r="AR12" s="4">
        <f t="shared" si="4"/>
        <v>4602.8832399999956</v>
      </c>
      <c r="AS12" s="4">
        <f t="shared" si="5"/>
        <v>12839.643217000001</v>
      </c>
      <c r="AT12" s="4">
        <f t="shared" si="6"/>
        <v>3142.8839434000001</v>
      </c>
      <c r="AU12" s="4">
        <f t="shared" si="7"/>
        <v>4658.3832399999956</v>
      </c>
      <c r="AV12" s="4">
        <f t="shared" si="8"/>
        <v>12822.743216999999</v>
      </c>
    </row>
    <row r="13" spans="1:48" ht="16" x14ac:dyDescent="0.4">
      <c r="A13">
        <v>56.940436099999999</v>
      </c>
      <c r="B13">
        <v>24.1666496</v>
      </c>
      <c r="C13">
        <v>49303.755469999996</v>
      </c>
      <c r="D13">
        <v>920.32340190000002</v>
      </c>
      <c r="E13">
        <v>-45740.293360000003</v>
      </c>
      <c r="F13">
        <v>18380.393690000001</v>
      </c>
      <c r="G13" t="s">
        <v>1</v>
      </c>
      <c r="H13">
        <v>15</v>
      </c>
      <c r="I13">
        <v>51851.7</v>
      </c>
      <c r="J13">
        <v>51793.9</v>
      </c>
      <c r="L13">
        <f>2.94496788483956*AH13</f>
        <v>9.6918893090069922</v>
      </c>
      <c r="M13">
        <f>0.768714976005326*AH12</f>
        <v>2.5298409860335278</v>
      </c>
      <c r="N13">
        <f>4.50775075176881*AH13</f>
        <v>14.835007724071152</v>
      </c>
      <c r="O13">
        <v>368.36827979999998</v>
      </c>
      <c r="P13">
        <v>96.153922379999997</v>
      </c>
      <c r="Q13">
        <v>563.84736789999999</v>
      </c>
      <c r="R13">
        <v>9.9999999999999995E-7</v>
      </c>
      <c r="S13">
        <f t="shared" si="9"/>
        <v>9.6918893090070437</v>
      </c>
      <c r="T13">
        <f t="shared" si="10"/>
        <v>2.5298409860337254</v>
      </c>
      <c r="U13">
        <f t="shared" si="11"/>
        <v>14.835007724071186</v>
      </c>
      <c r="V13" s="10">
        <f t="shared" si="12"/>
        <v>1.0530960409132506E-2</v>
      </c>
      <c r="W13" s="10">
        <f t="shared" si="13"/>
        <v>5.5308805435998305E-5</v>
      </c>
      <c r="X13" s="10">
        <f t="shared" si="14"/>
        <v>8.071104446550723E-4</v>
      </c>
      <c r="Z13">
        <v>2535.1</v>
      </c>
      <c r="AA13">
        <v>-49229.1</v>
      </c>
      <c r="AB13">
        <v>16083.1</v>
      </c>
      <c r="AC13">
        <v>2534.6</v>
      </c>
      <c r="AD13">
        <v>-49173.7</v>
      </c>
      <c r="AE13">
        <v>16066.3</v>
      </c>
      <c r="AG13">
        <v>271.9862598683398</v>
      </c>
      <c r="AH13">
        <v>3.2909999999999999</v>
      </c>
      <c r="AI13">
        <v>7.1560470009223032</v>
      </c>
      <c r="AJ13" s="1">
        <v>9.9999999999999995E-7</v>
      </c>
      <c r="AK13">
        <f t="shared" si="15"/>
        <v>7.1560470009223733</v>
      </c>
      <c r="AL13" s="10">
        <f t="shared" si="0"/>
        <v>1.4514202686399081E-4</v>
      </c>
      <c r="AM13" s="3"/>
      <c r="AO13" s="4">
        <f t="shared" si="1"/>
        <v>2547.9445300000007</v>
      </c>
      <c r="AP13" s="4">
        <f t="shared" si="2"/>
        <v>2490.144530000005</v>
      </c>
      <c r="AQ13" s="4">
        <f t="shared" si="3"/>
        <v>1614.7765980999998</v>
      </c>
      <c r="AR13" s="4">
        <f t="shared" si="4"/>
        <v>3488.8066399999952</v>
      </c>
      <c r="AS13" s="4">
        <f t="shared" si="5"/>
        <v>2297.2936900000004</v>
      </c>
      <c r="AT13" s="4">
        <f t="shared" si="6"/>
        <v>1614.2765980999998</v>
      </c>
      <c r="AU13" s="4">
        <f t="shared" si="7"/>
        <v>3433.4066399999938</v>
      </c>
      <c r="AV13" s="4">
        <f t="shared" si="8"/>
        <v>2314.0936900000015</v>
      </c>
    </row>
    <row r="14" spans="1:48" ht="16" x14ac:dyDescent="0.4">
      <c r="A14">
        <v>56.945868400000002</v>
      </c>
      <c r="B14">
        <v>24.159261799999999</v>
      </c>
      <c r="C14">
        <v>55703.625590000003</v>
      </c>
      <c r="D14">
        <v>2623.0845140000001</v>
      </c>
      <c r="E14">
        <v>-51894.749770000002</v>
      </c>
      <c r="F14">
        <v>20073.571629999999</v>
      </c>
      <c r="G14" t="s">
        <v>1</v>
      </c>
      <c r="H14">
        <v>15</v>
      </c>
      <c r="I14">
        <v>51852.2</v>
      </c>
      <c r="J14">
        <v>51794.3</v>
      </c>
      <c r="L14">
        <f>0.866327976105242*AH14</f>
        <v>2.8510853693623517</v>
      </c>
      <c r="M14">
        <f>2.64040499942443*AH14</f>
        <v>8.6895728531057994</v>
      </c>
      <c r="N14">
        <f>0.894268481049399*AH14</f>
        <v>2.9430375711335723</v>
      </c>
      <c r="O14">
        <v>114.03653869999999</v>
      </c>
      <c r="P14">
        <v>347.56195709999997</v>
      </c>
      <c r="Q14">
        <v>117.714405</v>
      </c>
      <c r="R14">
        <v>9.9999999999999995E-7</v>
      </c>
      <c r="S14">
        <f t="shared" si="9"/>
        <v>2.8510853693625271</v>
      </c>
      <c r="T14">
        <f t="shared" si="10"/>
        <v>8.6895728531058563</v>
      </c>
      <c r="U14">
        <f t="shared" si="11"/>
        <v>2.9430375711337424</v>
      </c>
      <c r="V14" s="10">
        <f t="shared" si="12"/>
        <v>1.08692089566525E-3</v>
      </c>
      <c r="W14" s="10">
        <f t="shared" si="13"/>
        <v>1.6744608831564765E-4</v>
      </c>
      <c r="X14" s="10">
        <f t="shared" si="14"/>
        <v>1.466125523340035E-4</v>
      </c>
      <c r="Z14">
        <v>2534.6</v>
      </c>
      <c r="AA14">
        <v>-49230.5</v>
      </c>
      <c r="AB14">
        <v>16080.7</v>
      </c>
      <c r="AC14">
        <v>2534.1</v>
      </c>
      <c r="AD14">
        <v>-49175</v>
      </c>
      <c r="AE14">
        <v>16063.9</v>
      </c>
      <c r="AG14">
        <v>346.00904671638324</v>
      </c>
      <c r="AH14">
        <v>3.2909999999999999</v>
      </c>
      <c r="AI14">
        <v>8.6507477517863656</v>
      </c>
      <c r="AJ14" s="1">
        <v>9.9999999999999995E-7</v>
      </c>
      <c r="AK14">
        <f t="shared" si="15"/>
        <v>8.6507477517864224</v>
      </c>
      <c r="AL14" s="10">
        <f t="shared" si="0"/>
        <v>1.5529954576851487E-4</v>
      </c>
      <c r="AM14" s="3"/>
      <c r="AO14" s="4">
        <f t="shared" si="1"/>
        <v>3851.4255900000062</v>
      </c>
      <c r="AP14" s="4">
        <f t="shared" si="2"/>
        <v>3909.3255900000004</v>
      </c>
      <c r="AQ14" s="4">
        <f t="shared" si="3"/>
        <v>88.484514000000217</v>
      </c>
      <c r="AR14" s="4">
        <f t="shared" si="4"/>
        <v>2664.2497700000022</v>
      </c>
      <c r="AS14" s="4">
        <f t="shared" si="5"/>
        <v>3992.8716299999978</v>
      </c>
      <c r="AT14" s="4">
        <f t="shared" si="6"/>
        <v>88.984514000000217</v>
      </c>
      <c r="AU14" s="4">
        <f t="shared" si="7"/>
        <v>2719.7497700000022</v>
      </c>
      <c r="AV14" s="4">
        <f t="shared" si="8"/>
        <v>4009.6716299999989</v>
      </c>
    </row>
    <row r="15" spans="1:48" ht="16" x14ac:dyDescent="0.4">
      <c r="A15">
        <v>56.969174299999999</v>
      </c>
      <c r="B15">
        <v>24.1541046</v>
      </c>
      <c r="C15">
        <v>77578.040229999999</v>
      </c>
      <c r="D15">
        <v>-2438.171574</v>
      </c>
      <c r="E15">
        <v>-73565.598610000001</v>
      </c>
      <c r="F15">
        <v>24505.312620000001</v>
      </c>
      <c r="G15" t="s">
        <v>1</v>
      </c>
      <c r="H15">
        <v>15</v>
      </c>
      <c r="I15">
        <v>51856.6</v>
      </c>
      <c r="J15">
        <v>51798.7</v>
      </c>
      <c r="L15">
        <f>6.75930606164778*AH15</f>
        <v>22.244876248882843</v>
      </c>
      <c r="M15">
        <f>28.709376012045*AH15</f>
        <v>94.482556455640093</v>
      </c>
      <c r="N15">
        <f>3.64844160255721*AH15</f>
        <v>12.007021314015777</v>
      </c>
      <c r="O15">
        <v>723.43523700000003</v>
      </c>
      <c r="P15">
        <v>3072.7080639999999</v>
      </c>
      <c r="Q15">
        <v>390.48553079999999</v>
      </c>
      <c r="R15">
        <v>9.9999999999999995E-7</v>
      </c>
      <c r="S15">
        <f t="shared" si="9"/>
        <v>22.244876248882868</v>
      </c>
      <c r="T15">
        <f t="shared" si="10"/>
        <v>94.482556455640108</v>
      </c>
      <c r="U15">
        <f t="shared" si="11"/>
        <v>12.007021314015818</v>
      </c>
      <c r="V15" s="10">
        <f t="shared" si="12"/>
        <v>9.1235893675802766E-3</v>
      </c>
      <c r="W15" s="10">
        <f t="shared" si="13"/>
        <v>1.2843306958804084E-3</v>
      </c>
      <c r="X15" s="10">
        <f t="shared" si="14"/>
        <v>4.8997625536171662E-4</v>
      </c>
      <c r="Z15">
        <v>2534.4</v>
      </c>
      <c r="AA15">
        <v>-49238.7</v>
      </c>
      <c r="AB15">
        <v>16069.5</v>
      </c>
      <c r="AC15">
        <v>2533.8000000000002</v>
      </c>
      <c r="AD15">
        <v>-49183.3</v>
      </c>
      <c r="AE15">
        <v>16052.9</v>
      </c>
      <c r="AG15">
        <v>2954.8876917018956</v>
      </c>
      <c r="AH15">
        <v>3.2909999999999999</v>
      </c>
      <c r="AI15">
        <v>90.859703352746124</v>
      </c>
      <c r="AJ15" s="1">
        <v>9.9999999999999995E-7</v>
      </c>
      <c r="AK15">
        <f t="shared" si="15"/>
        <v>90.859703352746124</v>
      </c>
      <c r="AL15" s="10">
        <f t="shared" si="0"/>
        <v>1.1712039010442804E-3</v>
      </c>
      <c r="AM15" s="3"/>
      <c r="AO15" s="4">
        <f t="shared" si="1"/>
        <v>25721.44023</v>
      </c>
      <c r="AP15" s="4">
        <f t="shared" si="2"/>
        <v>25779.340230000002</v>
      </c>
      <c r="AQ15" s="4">
        <f t="shared" si="3"/>
        <v>4972.5715739999996</v>
      </c>
      <c r="AR15" s="4">
        <f t="shared" si="4"/>
        <v>24326.898610000004</v>
      </c>
      <c r="AS15" s="4">
        <f t="shared" si="5"/>
        <v>8435.8126200000006</v>
      </c>
      <c r="AT15" s="4">
        <f t="shared" si="6"/>
        <v>4971.9715740000001</v>
      </c>
      <c r="AU15" s="4">
        <f t="shared" si="7"/>
        <v>24382.298609999998</v>
      </c>
      <c r="AV15" s="4">
        <f t="shared" si="8"/>
        <v>8452.412620000001</v>
      </c>
    </row>
    <row r="16" spans="1:48" ht="16" x14ac:dyDescent="0.4">
      <c r="A16">
        <v>56.970512300000003</v>
      </c>
      <c r="B16">
        <v>24.146960199999999</v>
      </c>
      <c r="C16">
        <v>53293.979299999999</v>
      </c>
      <c r="D16">
        <v>172.6222276</v>
      </c>
      <c r="E16">
        <v>-48874.246449999999</v>
      </c>
      <c r="F16">
        <v>21249.152109999999</v>
      </c>
      <c r="G16" t="s">
        <v>1</v>
      </c>
      <c r="H16">
        <v>15</v>
      </c>
      <c r="I16">
        <v>51856.2</v>
      </c>
      <c r="J16">
        <v>51798.400000000001</v>
      </c>
      <c r="L16">
        <f>7.33691442676615*AH16</f>
        <v>24.1457853784874</v>
      </c>
      <c r="M16">
        <f>24.8338096423392*AH16</f>
        <v>81.728067532938312</v>
      </c>
      <c r="N16">
        <f>8.15207460817985*AH16</f>
        <v>26.828477535519887</v>
      </c>
      <c r="O16">
        <v>807.99383650000004</v>
      </c>
      <c r="P16">
        <v>2734.8779009999998</v>
      </c>
      <c r="Q16">
        <v>897.76514410000004</v>
      </c>
      <c r="R16">
        <v>9.9999999999999995E-7</v>
      </c>
      <c r="S16">
        <f t="shared" si="9"/>
        <v>24.145785378487421</v>
      </c>
      <c r="T16">
        <f t="shared" si="10"/>
        <v>81.728067532938312</v>
      </c>
      <c r="U16">
        <f t="shared" si="11"/>
        <v>26.828477535519905</v>
      </c>
      <c r="V16" s="10">
        <f t="shared" si="12"/>
        <v>0.13987645573916474</v>
      </c>
      <c r="W16" s="10">
        <f t="shared" si="13"/>
        <v>1.672211306962019E-3</v>
      </c>
      <c r="X16" s="10">
        <f t="shared" si="14"/>
        <v>1.2625669672200349E-3</v>
      </c>
      <c r="Z16">
        <v>2533.8000000000002</v>
      </c>
      <c r="AA16">
        <v>-49238.5</v>
      </c>
      <c r="AB16">
        <v>16069.1</v>
      </c>
      <c r="AC16">
        <v>2533.3000000000002</v>
      </c>
      <c r="AD16">
        <v>-49183.1</v>
      </c>
      <c r="AE16">
        <v>16052.4</v>
      </c>
      <c r="AG16">
        <v>2228.0637270728735</v>
      </c>
      <c r="AH16">
        <v>3.2909999999999999</v>
      </c>
      <c r="AI16">
        <v>66.582622459866656</v>
      </c>
      <c r="AJ16" s="1">
        <v>9.9999999999999995E-7</v>
      </c>
      <c r="AK16">
        <f t="shared" si="15"/>
        <v>66.582622459866656</v>
      </c>
      <c r="AL16" s="10">
        <f t="shared" si="0"/>
        <v>1.2493460487358777E-3</v>
      </c>
      <c r="AM16" s="3"/>
      <c r="AO16" s="4">
        <f t="shared" si="1"/>
        <v>1437.779300000002</v>
      </c>
      <c r="AP16" s="4">
        <f t="shared" si="2"/>
        <v>1495.5792999999976</v>
      </c>
      <c r="AQ16" s="4">
        <f t="shared" si="3"/>
        <v>2361.1777724000003</v>
      </c>
      <c r="AR16" s="4">
        <f t="shared" si="4"/>
        <v>364.25355000000127</v>
      </c>
      <c r="AS16" s="4">
        <f t="shared" si="5"/>
        <v>5180.0521099999987</v>
      </c>
      <c r="AT16" s="4">
        <f t="shared" si="6"/>
        <v>2360.6777724000003</v>
      </c>
      <c r="AU16" s="4">
        <f t="shared" si="7"/>
        <v>308.85354999999981</v>
      </c>
      <c r="AV16" s="4">
        <f t="shared" si="8"/>
        <v>5196.7521099999994</v>
      </c>
    </row>
    <row r="17" spans="1:48" ht="16" x14ac:dyDescent="0.4">
      <c r="A17">
        <v>56.970621700000002</v>
      </c>
      <c r="B17">
        <v>24.1433663</v>
      </c>
      <c r="C17">
        <v>55008.173179999998</v>
      </c>
      <c r="D17">
        <v>476.9327394</v>
      </c>
      <c r="E17">
        <v>-51240.219920000003</v>
      </c>
      <c r="F17">
        <v>20002.787670000002</v>
      </c>
      <c r="G17" t="s">
        <v>1</v>
      </c>
      <c r="H17">
        <v>15</v>
      </c>
      <c r="I17">
        <v>51855.9</v>
      </c>
      <c r="J17">
        <v>51798.1</v>
      </c>
      <c r="L17">
        <f>0.614749190885953*AH17</f>
        <v>2.0231395872056712</v>
      </c>
      <c r="M17">
        <f>1.65255580047833*AH17</f>
        <v>5.4385611393741842</v>
      </c>
      <c r="N17">
        <f>0.788160872440202*AH17</f>
        <v>2.5938374312007051</v>
      </c>
      <c r="O17">
        <v>68.873861210000001</v>
      </c>
      <c r="P17">
        <v>185.1452601</v>
      </c>
      <c r="Q17">
        <v>88.302161830000003</v>
      </c>
      <c r="R17">
        <v>9.9999999999999995E-7</v>
      </c>
      <c r="S17">
        <f t="shared" si="9"/>
        <v>2.0231395872059181</v>
      </c>
      <c r="T17">
        <f t="shared" si="10"/>
        <v>5.4385611393742757</v>
      </c>
      <c r="U17">
        <f t="shared" si="11"/>
        <v>2.5938374312008978</v>
      </c>
      <c r="V17" s="10">
        <f t="shared" si="12"/>
        <v>4.2419809337289503E-3</v>
      </c>
      <c r="W17" s="10">
        <f t="shared" si="13"/>
        <v>1.0613852063604249E-4</v>
      </c>
      <c r="X17" s="10">
        <f t="shared" si="14"/>
        <v>1.296737971723367E-4</v>
      </c>
      <c r="Z17">
        <v>2533.5</v>
      </c>
      <c r="AA17">
        <v>-49238.2</v>
      </c>
      <c r="AB17">
        <v>16069.1</v>
      </c>
      <c r="AC17">
        <v>2533</v>
      </c>
      <c r="AD17">
        <v>-49182.7</v>
      </c>
      <c r="AE17">
        <v>16052.5</v>
      </c>
      <c r="AG17">
        <v>191.69363085277655</v>
      </c>
      <c r="AH17">
        <v>3.2909999999999999</v>
      </c>
      <c r="AI17">
        <v>5.6309166698507953</v>
      </c>
      <c r="AJ17" s="1">
        <v>9.9999999999999995E-7</v>
      </c>
      <c r="AK17">
        <f t="shared" si="15"/>
        <v>5.6309166698508841</v>
      </c>
      <c r="AL17" s="10">
        <f t="shared" si="0"/>
        <v>1.0236509130061759E-4</v>
      </c>
      <c r="AM17" s="3"/>
      <c r="AO17" s="4">
        <f t="shared" si="1"/>
        <v>3152.2731799999965</v>
      </c>
      <c r="AP17" s="4">
        <f t="shared" si="2"/>
        <v>3210.0731799999994</v>
      </c>
      <c r="AQ17" s="4">
        <f t="shared" si="3"/>
        <v>2056.5672605999998</v>
      </c>
      <c r="AR17" s="4">
        <f t="shared" si="4"/>
        <v>2002.0199200000061</v>
      </c>
      <c r="AS17" s="4">
        <f t="shared" si="5"/>
        <v>3933.6876700000012</v>
      </c>
      <c r="AT17" s="4">
        <f t="shared" si="6"/>
        <v>2056.0672605999998</v>
      </c>
      <c r="AU17" s="4">
        <f t="shared" si="7"/>
        <v>2057.5199200000061</v>
      </c>
      <c r="AV17" s="4">
        <f t="shared" si="8"/>
        <v>3950.2876700000015</v>
      </c>
    </row>
    <row r="18" spans="1:48" ht="16" x14ac:dyDescent="0.4">
      <c r="A18">
        <v>56.976671899999999</v>
      </c>
      <c r="B18">
        <v>24.145066799999999</v>
      </c>
      <c r="C18">
        <v>52501.643839999997</v>
      </c>
      <c r="D18">
        <v>-94.988196639999998</v>
      </c>
      <c r="E18">
        <v>-47537.806420000001</v>
      </c>
      <c r="F18">
        <v>22283.862850000001</v>
      </c>
      <c r="G18" t="s">
        <v>1</v>
      </c>
      <c r="H18">
        <v>15</v>
      </c>
      <c r="I18">
        <v>51857.3</v>
      </c>
      <c r="J18">
        <v>51799.5</v>
      </c>
      <c r="L18">
        <f>1.03218441504601*AH18</f>
        <v>3.396918909916419</v>
      </c>
      <c r="M18">
        <f>28.7379038942988*AH18</f>
        <v>94.576441716137353</v>
      </c>
      <c r="N18">
        <f>1.05420892305766*AH18</f>
        <v>3.4694015657827588</v>
      </c>
      <c r="O18">
        <v>112.4844248</v>
      </c>
      <c r="P18">
        <v>3131.7723289999999</v>
      </c>
      <c r="Q18">
        <v>114.884591</v>
      </c>
      <c r="R18">
        <v>9.9999999999999995E-7</v>
      </c>
      <c r="S18">
        <f t="shared" si="9"/>
        <v>3.396918909916566</v>
      </c>
      <c r="T18">
        <f t="shared" si="10"/>
        <v>94.576441716137367</v>
      </c>
      <c r="U18">
        <f t="shared" si="11"/>
        <v>3.4694015657829032</v>
      </c>
      <c r="V18" s="10">
        <f t="shared" si="12"/>
        <v>3.5761484374639732E-2</v>
      </c>
      <c r="W18" s="10">
        <f t="shared" si="13"/>
        <v>1.9894994918475536E-3</v>
      </c>
      <c r="X18" s="10">
        <f t="shared" si="14"/>
        <v>1.5569120978425438E-4</v>
      </c>
      <c r="Z18">
        <v>2533.6999999999998</v>
      </c>
      <c r="AA18">
        <v>-49240.7</v>
      </c>
      <c r="AB18">
        <v>16066.1</v>
      </c>
      <c r="AC18">
        <v>2533.1999999999998</v>
      </c>
      <c r="AD18">
        <v>-49185.2</v>
      </c>
      <c r="AE18">
        <v>16049.5</v>
      </c>
      <c r="AG18">
        <v>2831.0829380761134</v>
      </c>
      <c r="AH18">
        <v>3.2909999999999999</v>
      </c>
      <c r="AI18">
        <v>85.495918083598269</v>
      </c>
      <c r="AJ18" s="1">
        <v>9.9999999999999995E-7</v>
      </c>
      <c r="AK18">
        <f t="shared" si="15"/>
        <v>85.495918083598269</v>
      </c>
      <c r="AL18" s="10">
        <f t="shared" si="0"/>
        <v>1.6284426892260574E-3</v>
      </c>
      <c r="AM18" s="3"/>
      <c r="AO18" s="4">
        <f t="shared" si="1"/>
        <v>644.34383999999409</v>
      </c>
      <c r="AP18" s="4">
        <f t="shared" si="2"/>
        <v>702.143839999997</v>
      </c>
      <c r="AQ18" s="4">
        <f t="shared" si="3"/>
        <v>2628.6881966399997</v>
      </c>
      <c r="AR18" s="4">
        <f t="shared" si="4"/>
        <v>1702.8935799999963</v>
      </c>
      <c r="AS18" s="4">
        <f t="shared" si="5"/>
        <v>6217.762850000001</v>
      </c>
      <c r="AT18" s="4">
        <f t="shared" si="6"/>
        <v>2628.1881966399997</v>
      </c>
      <c r="AU18" s="4">
        <f t="shared" si="7"/>
        <v>1647.3935799999963</v>
      </c>
      <c r="AV18" s="4">
        <f t="shared" si="8"/>
        <v>6234.3628500000013</v>
      </c>
    </row>
    <row r="19" spans="1:48" ht="16" x14ac:dyDescent="0.4">
      <c r="A19">
        <v>56.982824999999998</v>
      </c>
      <c r="B19">
        <v>24.137350099999999</v>
      </c>
      <c r="C19">
        <v>56845.307289999997</v>
      </c>
      <c r="D19">
        <v>-2240.4897489999998</v>
      </c>
      <c r="E19">
        <v>-35730.96948</v>
      </c>
      <c r="F19">
        <v>44155.033530000001</v>
      </c>
      <c r="G19" t="s">
        <v>1</v>
      </c>
      <c r="H19">
        <v>15</v>
      </c>
      <c r="I19">
        <v>51857.9</v>
      </c>
      <c r="J19">
        <v>51800.1</v>
      </c>
      <c r="L19">
        <f>6.89953709159413*AH19</f>
        <v>22.70637656843628</v>
      </c>
      <c r="M19">
        <f>2.02274155196174*AH19</f>
        <v>6.6568424475060866</v>
      </c>
      <c r="N19">
        <f>1.13489120670043*AH19</f>
        <v>3.7349269612511149</v>
      </c>
      <c r="O19">
        <v>781.81224029999998</v>
      </c>
      <c r="P19">
        <v>229.20437749999999</v>
      </c>
      <c r="Q19">
        <v>128.59874869999999</v>
      </c>
      <c r="R19">
        <v>9.9999999999999995E-7</v>
      </c>
      <c r="S19">
        <f t="shared" si="9"/>
        <v>22.706376568436301</v>
      </c>
      <c r="T19">
        <f t="shared" si="10"/>
        <v>6.6568424475061621</v>
      </c>
      <c r="U19">
        <f t="shared" si="11"/>
        <v>3.7349269612512486</v>
      </c>
      <c r="V19" s="10">
        <f t="shared" si="12"/>
        <v>1.0134559454499117E-2</v>
      </c>
      <c r="W19" s="10">
        <f t="shared" si="13"/>
        <v>1.8630455720582262E-4</v>
      </c>
      <c r="X19" s="10">
        <f t="shared" si="14"/>
        <v>8.4586663459640423E-5</v>
      </c>
      <c r="Z19">
        <v>2533.1</v>
      </c>
      <c r="AA19">
        <v>-49242.2</v>
      </c>
      <c r="AB19">
        <v>16063.4</v>
      </c>
      <c r="AC19">
        <v>2532.6</v>
      </c>
      <c r="AD19">
        <v>-49186.7</v>
      </c>
      <c r="AE19">
        <v>16046.8</v>
      </c>
      <c r="AG19">
        <v>168.82800427476809</v>
      </c>
      <c r="AH19">
        <v>3.2909999999999999</v>
      </c>
      <c r="AI19">
        <v>4.9033157102815386</v>
      </c>
      <c r="AJ19" s="1">
        <v>9.9999999999999995E-7</v>
      </c>
      <c r="AK19">
        <f t="shared" si="15"/>
        <v>4.9033157102816398</v>
      </c>
      <c r="AL19" s="10">
        <f t="shared" si="0"/>
        <v>8.6257176608564345E-5</v>
      </c>
      <c r="AM19" s="3"/>
      <c r="AO19" s="4">
        <f t="shared" si="1"/>
        <v>4987.4072899999956</v>
      </c>
      <c r="AP19" s="4">
        <f t="shared" si="2"/>
        <v>5045.2072899999985</v>
      </c>
      <c r="AQ19" s="4">
        <f t="shared" si="3"/>
        <v>4773.5897489999998</v>
      </c>
      <c r="AR19" s="4">
        <f t="shared" si="4"/>
        <v>13511.230519999997</v>
      </c>
      <c r="AS19" s="4">
        <f t="shared" si="5"/>
        <v>28091.633529999999</v>
      </c>
      <c r="AT19" s="4">
        <f t="shared" si="6"/>
        <v>4773.0897489999998</v>
      </c>
      <c r="AU19" s="4">
        <f t="shared" si="7"/>
        <v>13455.730519999997</v>
      </c>
      <c r="AV19" s="4">
        <f t="shared" si="8"/>
        <v>28108.233530000001</v>
      </c>
    </row>
    <row r="20" spans="1:48" ht="16" x14ac:dyDescent="0.4">
      <c r="A20">
        <v>56.982051800000001</v>
      </c>
      <c r="B20">
        <v>24.137824200000001</v>
      </c>
      <c r="C20">
        <v>50790.283239999997</v>
      </c>
      <c r="D20">
        <v>961.08044189999998</v>
      </c>
      <c r="E20">
        <v>-46354.102769999998</v>
      </c>
      <c r="F20">
        <v>20737.07674</v>
      </c>
      <c r="G20" t="s">
        <v>1</v>
      </c>
      <c r="H20">
        <v>15</v>
      </c>
      <c r="I20">
        <v>51857.8</v>
      </c>
      <c r="J20">
        <v>51800</v>
      </c>
      <c r="L20">
        <f>0.627348940898048*AH20</f>
        <v>2.0646053644954763</v>
      </c>
      <c r="M20">
        <f>1.38939235959922*AH20</f>
        <v>4.5724902554410329</v>
      </c>
      <c r="N20">
        <f>0.946414522888819*AH20</f>
        <v>3.114650194827103</v>
      </c>
      <c r="O20">
        <v>73.490922819999994</v>
      </c>
      <c r="P20">
        <v>162.76065840000001</v>
      </c>
      <c r="Q20">
        <v>110.8679271</v>
      </c>
      <c r="R20">
        <v>9.9999999999999995E-7</v>
      </c>
      <c r="S20">
        <f t="shared" si="9"/>
        <v>2.0646053644957187</v>
      </c>
      <c r="T20">
        <f t="shared" si="10"/>
        <v>4.5724902554411422</v>
      </c>
      <c r="U20">
        <f t="shared" si="11"/>
        <v>3.1146501948272638</v>
      </c>
      <c r="V20" s="10">
        <f t="shared" si="12"/>
        <v>2.1482128596999792E-3</v>
      </c>
      <c r="W20" s="10">
        <f t="shared" si="13"/>
        <v>9.8642622382940848E-5</v>
      </c>
      <c r="X20" s="10">
        <f t="shared" si="14"/>
        <v>1.5019716780135056E-4</v>
      </c>
      <c r="Z20">
        <v>2533.1999999999998</v>
      </c>
      <c r="AA20">
        <v>-49242</v>
      </c>
      <c r="AB20">
        <v>16063.7</v>
      </c>
      <c r="AC20">
        <v>2532.6</v>
      </c>
      <c r="AD20">
        <v>-49186.5</v>
      </c>
      <c r="AE20">
        <v>16047.2</v>
      </c>
      <c r="AG20">
        <v>159.94519328967985</v>
      </c>
      <c r="AH20">
        <v>3.2909999999999999</v>
      </c>
      <c r="AI20">
        <v>4.4933944413916613</v>
      </c>
      <c r="AJ20" s="1">
        <v>9.9999999999999995E-7</v>
      </c>
      <c r="AK20">
        <f t="shared" si="15"/>
        <v>4.4933944413917724</v>
      </c>
      <c r="AL20" s="10">
        <f t="shared" si="0"/>
        <v>8.8469568483386406E-5</v>
      </c>
      <c r="AM20" s="3"/>
      <c r="AO20" s="4">
        <f t="shared" si="1"/>
        <v>1067.5167600000059</v>
      </c>
      <c r="AP20" s="4">
        <f t="shared" si="2"/>
        <v>1009.716760000003</v>
      </c>
      <c r="AQ20" s="4">
        <f t="shared" si="3"/>
        <v>1572.1195580999997</v>
      </c>
      <c r="AR20" s="4">
        <f t="shared" si="4"/>
        <v>2887.8972300000023</v>
      </c>
      <c r="AS20" s="4">
        <f t="shared" si="5"/>
        <v>4673.3767399999997</v>
      </c>
      <c r="AT20" s="4">
        <f t="shared" si="6"/>
        <v>1571.5195580999998</v>
      </c>
      <c r="AU20" s="4">
        <f t="shared" si="7"/>
        <v>2832.3972300000023</v>
      </c>
      <c r="AV20" s="4">
        <f t="shared" si="8"/>
        <v>4689.8767399999997</v>
      </c>
    </row>
    <row r="21" spans="1:48" ht="16" x14ac:dyDescent="0.4">
      <c r="A21">
        <v>56.990256199999997</v>
      </c>
      <c r="B21">
        <v>24.1329496</v>
      </c>
      <c r="C21">
        <v>54116.75791</v>
      </c>
      <c r="D21">
        <v>2071.46603</v>
      </c>
      <c r="E21">
        <v>-50511.823709999997</v>
      </c>
      <c r="F21">
        <v>19310.312819999999</v>
      </c>
      <c r="G21" t="s">
        <v>1</v>
      </c>
      <c r="H21">
        <v>15</v>
      </c>
      <c r="I21">
        <v>51859.1</v>
      </c>
      <c r="J21">
        <v>51801.2</v>
      </c>
      <c r="L21">
        <f>0.582028575302586*AH21</f>
        <v>1.9154560413208106</v>
      </c>
      <c r="M21">
        <f>2.32485057480392*AH21</f>
        <v>7.651083241679701</v>
      </c>
      <c r="N21">
        <f>0.709119787761438*AH21</f>
        <v>2.3337132215228924</v>
      </c>
      <c r="O21">
        <v>67.09504647</v>
      </c>
      <c r="P21">
        <v>268.00395029999999</v>
      </c>
      <c r="Q21">
        <v>81.745857729999997</v>
      </c>
      <c r="R21">
        <v>9.9999999999999995E-7</v>
      </c>
      <c r="S21">
        <f t="shared" si="9"/>
        <v>1.9154560413210717</v>
      </c>
      <c r="T21">
        <f t="shared" si="10"/>
        <v>7.6510832416797667</v>
      </c>
      <c r="U21">
        <f t="shared" si="11"/>
        <v>2.3337132215231069</v>
      </c>
      <c r="V21" s="10">
        <f t="shared" si="12"/>
        <v>9.2468619498484931E-4</v>
      </c>
      <c r="W21" s="10">
        <f t="shared" si="13"/>
        <v>1.5147113447351251E-4</v>
      </c>
      <c r="X21" s="10">
        <f t="shared" si="14"/>
        <v>1.2085320643309531E-4</v>
      </c>
      <c r="Z21">
        <v>2532.9</v>
      </c>
      <c r="AA21">
        <v>-49244.6</v>
      </c>
      <c r="AB21">
        <v>16059.9</v>
      </c>
      <c r="AC21">
        <v>2532.3000000000002</v>
      </c>
      <c r="AD21">
        <v>-49189.1</v>
      </c>
      <c r="AE21">
        <v>16043.4</v>
      </c>
      <c r="AG21">
        <v>263.4316891848008</v>
      </c>
      <c r="AH21">
        <v>3.2909999999999999</v>
      </c>
      <c r="AI21">
        <v>7.5205525156372737</v>
      </c>
      <c r="AJ21" s="1">
        <v>9.9999999999999995E-7</v>
      </c>
      <c r="AK21">
        <f t="shared" si="15"/>
        <v>7.5205525156373403</v>
      </c>
      <c r="AL21" s="10">
        <f t="shared" si="0"/>
        <v>1.3896901451754652E-4</v>
      </c>
      <c r="AM21" s="3"/>
      <c r="AO21" s="4">
        <f t="shared" si="1"/>
        <v>2257.6579100000017</v>
      </c>
      <c r="AP21" s="4">
        <f t="shared" si="2"/>
        <v>2315.5579100000032</v>
      </c>
      <c r="AQ21" s="4">
        <f t="shared" si="3"/>
        <v>461.43397000000004</v>
      </c>
      <c r="AR21" s="4">
        <f t="shared" si="4"/>
        <v>1267.2237099999984</v>
      </c>
      <c r="AS21" s="4">
        <f t="shared" si="5"/>
        <v>3250.4128199999996</v>
      </c>
      <c r="AT21" s="4">
        <f t="shared" si="6"/>
        <v>460.83397000000014</v>
      </c>
      <c r="AU21" s="4">
        <f t="shared" si="7"/>
        <v>1322.7237099999984</v>
      </c>
      <c r="AV21" s="4">
        <f t="shared" si="8"/>
        <v>3266.9128199999996</v>
      </c>
    </row>
    <row r="22" spans="1:48" ht="16" x14ac:dyDescent="0.4">
      <c r="A22">
        <v>56.995107099999998</v>
      </c>
      <c r="B22">
        <v>24.131412399999999</v>
      </c>
      <c r="C22">
        <v>56445.83554</v>
      </c>
      <c r="D22">
        <v>921.78294240000002</v>
      </c>
      <c r="E22">
        <v>-52459.946559999997</v>
      </c>
      <c r="F22">
        <v>20814.33815</v>
      </c>
      <c r="G22" t="s">
        <v>2</v>
      </c>
      <c r="H22">
        <v>15</v>
      </c>
      <c r="I22">
        <v>51860.3</v>
      </c>
      <c r="J22">
        <v>51802.1</v>
      </c>
      <c r="L22">
        <f>2.34098820796805*AH22</f>
        <v>7.7041921924228527</v>
      </c>
      <c r="M22">
        <f>4.15271764080357*AH22</f>
        <v>13.666593755884549</v>
      </c>
      <c r="N22">
        <f>1.63534283828904*AH22</f>
        <v>5.3819132808092309</v>
      </c>
      <c r="O22">
        <v>266.26618459999997</v>
      </c>
      <c r="P22">
        <v>472.33398190000003</v>
      </c>
      <c r="Q22">
        <v>186.00542139999999</v>
      </c>
      <c r="R22">
        <v>9.9999999999999995E-7</v>
      </c>
      <c r="S22">
        <f t="shared" si="9"/>
        <v>7.7041921924229175</v>
      </c>
      <c r="T22">
        <f t="shared" si="10"/>
        <v>13.666593755884586</v>
      </c>
      <c r="U22">
        <f t="shared" si="11"/>
        <v>5.3819132808093242</v>
      </c>
      <c r="V22" s="10">
        <f t="shared" si="12"/>
        <v>8.3579244505912632E-3</v>
      </c>
      <c r="W22" s="10">
        <f t="shared" si="13"/>
        <v>2.6051482420504752E-4</v>
      </c>
      <c r="X22" s="10">
        <f t="shared" si="14"/>
        <v>2.5856759134132375E-4</v>
      </c>
      <c r="Z22">
        <v>2533</v>
      </c>
      <c r="AA22">
        <v>-49246.7</v>
      </c>
      <c r="AB22">
        <v>16057.5</v>
      </c>
      <c r="AC22">
        <v>2532.1999999999998</v>
      </c>
      <c r="AD22">
        <v>-49190.7</v>
      </c>
      <c r="AE22">
        <v>16041.1</v>
      </c>
      <c r="AG22">
        <v>495.68920964328419</v>
      </c>
      <c r="AH22">
        <v>3.2909999999999999</v>
      </c>
      <c r="AI22">
        <v>14.3423579867246</v>
      </c>
      <c r="AJ22" s="1">
        <v>9.9999999999999995E-7</v>
      </c>
      <c r="AK22">
        <f t="shared" si="15"/>
        <v>14.342357986724634</v>
      </c>
      <c r="AL22" s="10">
        <f t="shared" si="0"/>
        <v>2.5409063130194979E-4</v>
      </c>
      <c r="AM22" s="3"/>
      <c r="AO22" s="4">
        <f t="shared" si="1"/>
        <v>4585.5355399999971</v>
      </c>
      <c r="AP22" s="4">
        <f t="shared" si="2"/>
        <v>4643.7355400000015</v>
      </c>
      <c r="AQ22" s="4">
        <f t="shared" si="3"/>
        <v>1611.2170575999999</v>
      </c>
      <c r="AR22" s="4">
        <f t="shared" si="4"/>
        <v>3213.2465599999996</v>
      </c>
      <c r="AS22" s="4">
        <f t="shared" si="5"/>
        <v>4756.8381499999996</v>
      </c>
      <c r="AT22" s="4">
        <f t="shared" si="6"/>
        <v>1610.4170575999997</v>
      </c>
      <c r="AU22" s="4">
        <f t="shared" si="7"/>
        <v>3269.2465599999996</v>
      </c>
      <c r="AV22" s="4">
        <f t="shared" si="8"/>
        <v>4773.2381499999992</v>
      </c>
    </row>
    <row r="23" spans="1:48" ht="16" x14ac:dyDescent="0.4">
      <c r="A23">
        <v>56.995058</v>
      </c>
      <c r="B23">
        <v>24.131213599999999</v>
      </c>
      <c r="C23">
        <v>56268.0501</v>
      </c>
      <c r="D23">
        <v>1528.749728</v>
      </c>
      <c r="E23">
        <v>-52180.041590000001</v>
      </c>
      <c r="F23">
        <v>20999.991590000001</v>
      </c>
      <c r="G23" t="s">
        <v>2</v>
      </c>
      <c r="H23">
        <v>15</v>
      </c>
      <c r="I23">
        <v>51860.3</v>
      </c>
      <c r="J23">
        <v>51802.1</v>
      </c>
      <c r="L23">
        <f>1.15196808614108*AH23</f>
        <v>3.7911269714902938</v>
      </c>
      <c r="M23">
        <f>5.09803049901262*AH23</f>
        <v>16.777618372250533</v>
      </c>
      <c r="N23">
        <f>1.0237055320639*AH23</f>
        <v>3.3690149060222945</v>
      </c>
      <c r="O23">
        <v>127.7594411</v>
      </c>
      <c r="P23">
        <v>565.39893359999996</v>
      </c>
      <c r="Q23">
        <v>113.5344358</v>
      </c>
      <c r="R23">
        <v>9.9999999999999995E-7</v>
      </c>
      <c r="S23">
        <f t="shared" si="9"/>
        <v>3.7911269714904257</v>
      </c>
      <c r="T23">
        <f t="shared" si="10"/>
        <v>16.777618372250565</v>
      </c>
      <c r="U23">
        <f t="shared" si="11"/>
        <v>3.3690149060224428</v>
      </c>
      <c r="V23" s="10">
        <f t="shared" si="12"/>
        <v>2.4798872582304237E-3</v>
      </c>
      <c r="W23" s="10">
        <f t="shared" si="13"/>
        <v>3.2153325028138534E-4</v>
      </c>
      <c r="X23" s="10">
        <f t="shared" si="14"/>
        <v>1.6042934548729705E-4</v>
      </c>
      <c r="Z23">
        <v>2533</v>
      </c>
      <c r="AA23">
        <v>-49246.6</v>
      </c>
      <c r="AB23">
        <v>16057.5</v>
      </c>
      <c r="AC23">
        <v>2532.1999999999998</v>
      </c>
      <c r="AD23">
        <v>-49190.7</v>
      </c>
      <c r="AE23">
        <v>16041.1</v>
      </c>
      <c r="AG23">
        <v>554.03446496017659</v>
      </c>
      <c r="AH23">
        <v>3.2909999999999999</v>
      </c>
      <c r="AI23">
        <v>16.440389724430446</v>
      </c>
      <c r="AJ23" s="1">
        <v>9.9999999999999995E-7</v>
      </c>
      <c r="AK23">
        <f t="shared" si="15"/>
        <v>16.440389724430478</v>
      </c>
      <c r="AL23" s="10">
        <f t="shared" si="0"/>
        <v>2.9217983731820267E-4</v>
      </c>
      <c r="AM23" s="3"/>
      <c r="AO23" s="4">
        <f t="shared" si="1"/>
        <v>4407.7500999999975</v>
      </c>
      <c r="AP23" s="4">
        <f t="shared" si="2"/>
        <v>4465.9501000000018</v>
      </c>
      <c r="AQ23" s="4">
        <f t="shared" si="3"/>
        <v>1004.250272</v>
      </c>
      <c r="AR23" s="4">
        <f t="shared" si="4"/>
        <v>2933.4415900000022</v>
      </c>
      <c r="AS23" s="4">
        <f t="shared" si="5"/>
        <v>4942.4915900000015</v>
      </c>
      <c r="AT23" s="4">
        <f t="shared" si="6"/>
        <v>1003.4502719999998</v>
      </c>
      <c r="AU23" s="4">
        <f t="shared" si="7"/>
        <v>2989.3415900000036</v>
      </c>
      <c r="AV23" s="4">
        <f t="shared" si="8"/>
        <v>4958.8915900000011</v>
      </c>
    </row>
    <row r="24" spans="1:48" ht="16" x14ac:dyDescent="0.4">
      <c r="A24">
        <v>56.995027700000001</v>
      </c>
      <c r="B24">
        <v>24.130748199999999</v>
      </c>
      <c r="C24">
        <v>56362.553330000002</v>
      </c>
      <c r="D24">
        <v>603.73920109999995</v>
      </c>
      <c r="E24">
        <v>-50583.483970000001</v>
      </c>
      <c r="F24">
        <v>24853.250629999999</v>
      </c>
      <c r="G24" t="s">
        <v>2</v>
      </c>
      <c r="H24">
        <v>15</v>
      </c>
      <c r="I24">
        <v>51860.3</v>
      </c>
      <c r="J24">
        <v>51802</v>
      </c>
      <c r="L24">
        <f>0.73260369482147*AH24</f>
        <v>2.410998759657458</v>
      </c>
      <c r="M24">
        <f>3.08224624319277*AH24</f>
        <v>10.143672386347406</v>
      </c>
      <c r="N24">
        <f>0.808941548118559*AH24</f>
        <v>2.6622266348581776</v>
      </c>
      <c r="O24">
        <v>80.40304691</v>
      </c>
      <c r="P24">
        <v>338.27564760000001</v>
      </c>
      <c r="Q24">
        <v>88.781104569999997</v>
      </c>
      <c r="R24">
        <v>9.9999999999999995E-7</v>
      </c>
      <c r="S24">
        <f t="shared" si="9"/>
        <v>2.4109987596576654</v>
      </c>
      <c r="T24">
        <f t="shared" si="10"/>
        <v>10.143672386347456</v>
      </c>
      <c r="U24">
        <f t="shared" si="11"/>
        <v>2.6622266348583654</v>
      </c>
      <c r="V24" s="10">
        <f t="shared" si="12"/>
        <v>3.9934441150498044E-3</v>
      </c>
      <c r="W24" s="10">
        <f t="shared" si="13"/>
        <v>2.0053328854065201E-4</v>
      </c>
      <c r="X24" s="10">
        <f t="shared" si="14"/>
        <v>1.0711784444183853E-4</v>
      </c>
      <c r="Z24">
        <v>2533</v>
      </c>
      <c r="AA24">
        <v>-49246.6</v>
      </c>
      <c r="AB24">
        <v>16057.6</v>
      </c>
      <c r="AC24">
        <v>2532.1999999999998</v>
      </c>
      <c r="AD24">
        <v>-49190.6</v>
      </c>
      <c r="AE24">
        <v>16041.2</v>
      </c>
      <c r="AG24">
        <v>319.94370613202517</v>
      </c>
      <c r="AH24">
        <v>3.2909999999999999</v>
      </c>
      <c r="AI24">
        <v>9.5939632678846909</v>
      </c>
      <c r="AJ24" s="1">
        <v>9.9999999999999995E-7</v>
      </c>
      <c r="AK24">
        <f t="shared" si="15"/>
        <v>9.5939632678847424</v>
      </c>
      <c r="AL24" s="10">
        <f t="shared" si="0"/>
        <v>1.7021874810590207E-4</v>
      </c>
      <c r="AM24" s="3"/>
      <c r="AO24" s="4">
        <f t="shared" si="1"/>
        <v>4502.2533299999996</v>
      </c>
      <c r="AP24" s="4">
        <f t="shared" si="2"/>
        <v>4560.5533300000025</v>
      </c>
      <c r="AQ24" s="4">
        <f t="shared" si="3"/>
        <v>1929.2607989000001</v>
      </c>
      <c r="AR24" s="4">
        <f t="shared" si="4"/>
        <v>1336.8839700000026</v>
      </c>
      <c r="AS24" s="4">
        <f t="shared" si="5"/>
        <v>8795.6506299999983</v>
      </c>
      <c r="AT24" s="4">
        <f t="shared" si="6"/>
        <v>1928.4607988999999</v>
      </c>
      <c r="AU24" s="4">
        <f t="shared" si="7"/>
        <v>1392.8839700000026</v>
      </c>
      <c r="AV24" s="4">
        <f t="shared" si="8"/>
        <v>8812.0506299999979</v>
      </c>
    </row>
    <row r="25" spans="1:48" ht="16" x14ac:dyDescent="0.4">
      <c r="A25">
        <v>56.9949309</v>
      </c>
      <c r="B25">
        <v>24.130454499999999</v>
      </c>
      <c r="C25">
        <v>52546.658530000001</v>
      </c>
      <c r="D25">
        <v>804.14686380000001</v>
      </c>
      <c r="E25">
        <v>-47359.430639999999</v>
      </c>
      <c r="F25">
        <v>22750.582419999999</v>
      </c>
      <c r="G25" t="s">
        <v>2</v>
      </c>
      <c r="H25">
        <v>15</v>
      </c>
      <c r="I25">
        <v>51860.2</v>
      </c>
      <c r="J25">
        <v>51802</v>
      </c>
      <c r="L25">
        <f>1.37541286350156*AH25</f>
        <v>4.5264837337836337</v>
      </c>
      <c r="M25">
        <f>3.23184588957838*AH25</f>
        <v>10.636004822602448</v>
      </c>
      <c r="N25">
        <f>2.57938804467343*AH25</f>
        <v>8.4887660550202586</v>
      </c>
      <c r="O25">
        <v>144.3462873</v>
      </c>
      <c r="P25">
        <v>339.17448899999999</v>
      </c>
      <c r="Q25">
        <v>270.7006002</v>
      </c>
      <c r="R25">
        <v>9.9999999999999995E-7</v>
      </c>
      <c r="S25">
        <f t="shared" si="9"/>
        <v>4.5264837337837438</v>
      </c>
      <c r="T25">
        <f t="shared" si="10"/>
        <v>10.636004822602494</v>
      </c>
      <c r="U25">
        <f t="shared" si="11"/>
        <v>8.4887660550203172</v>
      </c>
      <c r="V25" s="10">
        <f t="shared" si="12"/>
        <v>5.6289266768931017E-3</v>
      </c>
      <c r="W25" s="10">
        <f t="shared" si="13"/>
        <v>2.2458050442902231E-4</v>
      </c>
      <c r="X25" s="10">
        <f t="shared" si="14"/>
        <v>3.7312302156967448E-4</v>
      </c>
      <c r="Z25">
        <v>2533</v>
      </c>
      <c r="AA25">
        <v>-49246.5</v>
      </c>
      <c r="AB25">
        <v>16057.6</v>
      </c>
      <c r="AC25">
        <v>2532.1</v>
      </c>
      <c r="AD25">
        <v>-49190.6</v>
      </c>
      <c r="AE25">
        <v>16041.2</v>
      </c>
      <c r="AG25">
        <v>227.49078702642504</v>
      </c>
      <c r="AH25">
        <v>3.2909999999999999</v>
      </c>
      <c r="AI25">
        <v>7.1337709244969503</v>
      </c>
      <c r="AJ25" s="1">
        <v>9.9999999999999995E-7</v>
      </c>
      <c r="AK25">
        <f t="shared" si="15"/>
        <v>7.1337709244970204</v>
      </c>
      <c r="AL25" s="10">
        <f t="shared" si="0"/>
        <v>1.3576069580950042E-4</v>
      </c>
      <c r="AM25" s="3"/>
      <c r="AO25" s="4">
        <f t="shared" si="1"/>
        <v>686.45853000000352</v>
      </c>
      <c r="AP25" s="4">
        <f t="shared" si="2"/>
        <v>744.65853000000061</v>
      </c>
      <c r="AQ25" s="4">
        <f t="shared" si="3"/>
        <v>1728.8531361999999</v>
      </c>
      <c r="AR25" s="4">
        <f t="shared" si="4"/>
        <v>1887.0693600000013</v>
      </c>
      <c r="AS25" s="4">
        <f t="shared" si="5"/>
        <v>6692.9824199999985</v>
      </c>
      <c r="AT25" s="4">
        <f t="shared" si="6"/>
        <v>1727.9531361999998</v>
      </c>
      <c r="AU25" s="4">
        <f t="shared" si="7"/>
        <v>1831.1693599999999</v>
      </c>
      <c r="AV25" s="4">
        <f t="shared" si="8"/>
        <v>6709.3824199999981</v>
      </c>
    </row>
    <row r="26" spans="1:48" ht="16.5" thickBot="1" x14ac:dyDescent="0.45">
      <c r="A26">
        <v>56.9954994</v>
      </c>
      <c r="B26">
        <v>24.131323200000001</v>
      </c>
      <c r="C26">
        <v>55123.899389999999</v>
      </c>
      <c r="D26">
        <v>2314.4729179999999</v>
      </c>
      <c r="E26">
        <v>-51428.455589999998</v>
      </c>
      <c r="F26">
        <v>19707.90336</v>
      </c>
      <c r="G26" t="s">
        <v>2</v>
      </c>
      <c r="H26">
        <v>15</v>
      </c>
      <c r="I26">
        <v>51860.4</v>
      </c>
      <c r="J26">
        <v>51802.2</v>
      </c>
      <c r="L26">
        <f>11.224002886514*AH26</f>
        <v>36.938193499517574</v>
      </c>
      <c r="M26">
        <f>8.92455666203143*AH26</f>
        <v>29.370715974745433</v>
      </c>
      <c r="N26">
        <f>8.43041274324736*AH26</f>
        <v>27.744488338027057</v>
      </c>
      <c r="O26">
        <v>1368.6841999999999</v>
      </c>
      <c r="P26">
        <v>1088.2837280000001</v>
      </c>
      <c r="Q26">
        <v>1028.026529</v>
      </c>
      <c r="R26">
        <v>9.9999999999999995E-7</v>
      </c>
      <c r="S26">
        <f t="shared" si="9"/>
        <v>36.938193499517588</v>
      </c>
      <c r="T26">
        <f t="shared" si="10"/>
        <v>29.370715974745451</v>
      </c>
      <c r="U26">
        <f t="shared" si="11"/>
        <v>27.744488338027075</v>
      </c>
      <c r="V26" s="10">
        <f t="shared" si="12"/>
        <v>1.595965682391173E-2</v>
      </c>
      <c r="W26" s="10">
        <f t="shared" si="13"/>
        <v>5.7109854141636793E-4</v>
      </c>
      <c r="X26" s="10">
        <f t="shared" si="14"/>
        <v>1.4077848785446385E-3</v>
      </c>
      <c r="Z26">
        <v>2533</v>
      </c>
      <c r="AA26">
        <v>-49246.8</v>
      </c>
      <c r="AB26">
        <v>16255.9</v>
      </c>
      <c r="AC26">
        <v>2532.1999999999998</v>
      </c>
      <c r="AD26">
        <v>-49190.9</v>
      </c>
      <c r="AE26">
        <v>16040.9</v>
      </c>
      <c r="AG26">
        <v>1261.4028826017313</v>
      </c>
      <c r="AH26">
        <v>3.2909999999999999</v>
      </c>
      <c r="AI26">
        <v>34.042873982216946</v>
      </c>
      <c r="AJ26" s="1">
        <v>9.9999999999999995E-7</v>
      </c>
      <c r="AK26">
        <f t="shared" si="15"/>
        <v>34.04287398221696</v>
      </c>
      <c r="AL26" s="10">
        <f t="shared" si="0"/>
        <v>6.1757013489493204E-4</v>
      </c>
      <c r="AM26" s="3"/>
      <c r="AO26" s="5">
        <f t="shared" si="1"/>
        <v>3263.4993899999972</v>
      </c>
      <c r="AP26" s="5">
        <f t="shared" si="2"/>
        <v>3321.6993900000016</v>
      </c>
      <c r="AQ26" s="5">
        <f>ABS(D26-Z26)</f>
        <v>218.52708200000006</v>
      </c>
      <c r="AR26" s="5">
        <f>ABS(E26-AA26)</f>
        <v>2181.6555899999948</v>
      </c>
      <c r="AS26" s="5">
        <f>F26-AB26</f>
        <v>3452.0033600000006</v>
      </c>
      <c r="AT26" s="5">
        <f t="shared" si="6"/>
        <v>217.72708199999988</v>
      </c>
      <c r="AU26" s="5">
        <f t="shared" si="7"/>
        <v>2237.5555899999963</v>
      </c>
      <c r="AV26" s="5">
        <f t="shared" si="8"/>
        <v>3667.0033600000006</v>
      </c>
    </row>
    <row r="27" spans="1:48" ht="15" thickBot="1" x14ac:dyDescent="0.4">
      <c r="K27" s="13" t="s">
        <v>44</v>
      </c>
      <c r="L27" s="6">
        <f t="shared" ref="L27:P27" si="16">AVERAGE(L2:L26)</f>
        <v>8.1567003441311172</v>
      </c>
      <c r="M27" s="6">
        <f t="shared" si="16"/>
        <v>24.178952398833221</v>
      </c>
      <c r="N27" s="6">
        <f t="shared" si="16"/>
        <v>11.338103709929589</v>
      </c>
      <c r="O27" s="6">
        <f t="shared" si="16"/>
        <v>282.00189237159998</v>
      </c>
      <c r="P27" s="6">
        <f t="shared" si="16"/>
        <v>812.64813494160001</v>
      </c>
      <c r="Q27" s="6">
        <f>AVERAGE(Q2:Q26)</f>
        <v>378.79183972040005</v>
      </c>
      <c r="R27" s="6"/>
      <c r="S27" s="6">
        <f t="shared" ref="S27:X27" si="17">AVERAGE(S2:S26)</f>
        <v>8.1567003441312593</v>
      </c>
      <c r="T27" s="6">
        <f t="shared" si="17"/>
        <v>24.178952398833299</v>
      </c>
      <c r="U27" s="6">
        <f t="shared" si="17"/>
        <v>11.338103709929712</v>
      </c>
      <c r="V27" s="11">
        <f t="shared" si="17"/>
        <v>1.8973586013701929E-2</v>
      </c>
      <c r="W27" s="11">
        <f t="shared" si="17"/>
        <v>4.7153003667299505E-4</v>
      </c>
      <c r="X27" s="11">
        <f t="shared" si="17"/>
        <v>4.7640421630981353E-4</v>
      </c>
      <c r="AF27" s="13" t="s">
        <v>44</v>
      </c>
      <c r="AG27" s="6">
        <f>AVERAGE(AG2:AG26)</f>
        <v>681.7759163761142</v>
      </c>
      <c r="AH27" s="6"/>
      <c r="AI27" s="6">
        <f>AVERAGE(AI2:AI26)</f>
        <v>20.004087465429475</v>
      </c>
      <c r="AJ27" s="6"/>
      <c r="AK27" s="6">
        <f>AVERAGE(AK2:AK26)</f>
        <v>20.004087465429539</v>
      </c>
      <c r="AL27" s="11">
        <f>AVERAGE(AL2:AL26)</f>
        <v>3.5227722872368514E-4</v>
      </c>
      <c r="AN27" s="13" t="s">
        <v>44</v>
      </c>
      <c r="AO27" s="6">
        <f t="shared" ref="AO27:AV27" si="18">AVERAGE(AO2:AO26)</f>
        <v>3706.8388680000003</v>
      </c>
      <c r="AP27" s="6">
        <f t="shared" si="18"/>
        <v>3746.3708680000004</v>
      </c>
      <c r="AQ27" s="6">
        <f t="shared" si="18"/>
        <v>2163.5410886741597</v>
      </c>
      <c r="AR27" s="6">
        <f t="shared" si="18"/>
        <v>3803.1316491999996</v>
      </c>
      <c r="AS27" s="6">
        <f t="shared" si="18"/>
        <v>7240.9626890799982</v>
      </c>
      <c r="AT27" s="6">
        <f t="shared" si="18"/>
        <v>2162.9290886741601</v>
      </c>
      <c r="AU27" s="6">
        <f t="shared" si="18"/>
        <v>3803.2436491999997</v>
      </c>
      <c r="AV27" s="7">
        <f t="shared" si="18"/>
        <v>7264.0506890800016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2025-01-18T20:46:38Z</dcterms:modified>
</cp:coreProperties>
</file>